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5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en Diseño de Dashboard/5ª Sesion/"/>
    </mc:Choice>
  </mc:AlternateContent>
  <xr:revisionPtr revIDLastSave="25" documentId="13_ncr:1_{C52D4598-9659-4F7D-AECA-F3747545838F}" xr6:coauthVersionLast="45" xr6:coauthVersionMax="45" xr10:uidLastSave="{21370EFC-66DE-4F14-A7D1-36E48CA65F6F}"/>
  <bookViews>
    <workbookView xWindow="-120" yWindow="-120" windowWidth="57840" windowHeight="16440" xr2:uid="{00000000-000D-0000-FFFF-FFFF00000000}"/>
  </bookViews>
  <sheets>
    <sheet name="Simulación Escenarios" sheetId="2" r:id="rId1"/>
    <sheet name="Balance Situacio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" i="1" l="1"/>
  <c r="D32" i="1" l="1"/>
  <c r="D33" i="1"/>
  <c r="Q42" i="2" l="1"/>
  <c r="Q10" i="2"/>
  <c r="L42" i="2"/>
  <c r="L10" i="2"/>
  <c r="G42" i="2"/>
  <c r="G10" i="2"/>
  <c r="E34" i="1"/>
  <c r="D30" i="1"/>
  <c r="E29" i="1" l="1"/>
  <c r="D29" i="1" s="1"/>
  <c r="J20" i="1" l="1"/>
  <c r="J21" i="1"/>
  <c r="J22" i="1" l="1"/>
  <c r="G39" i="1" l="1"/>
  <c r="C35" i="1"/>
  <c r="C38" i="1" s="1"/>
  <c r="C41" i="1" s="1"/>
  <c r="C42" i="1" s="1"/>
  <c r="B35" i="1"/>
  <c r="B38" i="1" s="1"/>
  <c r="B41" i="1" s="1"/>
  <c r="B42" i="1" s="1"/>
  <c r="C34" i="1"/>
  <c r="B34" i="1"/>
  <c r="F32" i="1"/>
  <c r="I4" i="2" s="1"/>
  <c r="J19" i="1"/>
  <c r="I19" i="1"/>
  <c r="H19" i="1"/>
  <c r="J14" i="1"/>
  <c r="I14" i="1"/>
  <c r="H14" i="1"/>
  <c r="C14" i="1"/>
  <c r="C24" i="1" s="1"/>
  <c r="B14" i="1"/>
  <c r="D10" i="1"/>
  <c r="F10" i="1" s="1"/>
  <c r="J9" i="1"/>
  <c r="I9" i="1"/>
  <c r="H9" i="1"/>
  <c r="C9" i="1"/>
  <c r="B9" i="1"/>
  <c r="R47" i="2"/>
  <c r="M47" i="2"/>
  <c r="R42" i="2"/>
  <c r="R43" i="2" s="1"/>
  <c r="M42" i="2"/>
  <c r="M43" i="2" s="1"/>
  <c r="H42" i="2"/>
  <c r="R10" i="2"/>
  <c r="R11" i="2" s="1"/>
  <c r="M10" i="2"/>
  <c r="M11" i="2" s="1"/>
  <c r="H10" i="2"/>
  <c r="H24" i="1" l="1"/>
  <c r="D18" i="1"/>
  <c r="D14" i="1" s="1"/>
  <c r="I24" i="1"/>
  <c r="F17" i="1"/>
  <c r="I5" i="2" s="1"/>
  <c r="B24" i="1"/>
  <c r="J24" i="1"/>
  <c r="D9" i="1"/>
  <c r="D28" i="1"/>
  <c r="F29" i="1"/>
  <c r="D31" i="1" s="1"/>
  <c r="F30" i="1"/>
  <c r="F18" i="1" l="1"/>
  <c r="I6" i="2" s="1"/>
  <c r="F31" i="1"/>
  <c r="I2" i="2"/>
  <c r="D24" i="1"/>
  <c r="I3" i="2" l="1"/>
  <c r="D34" i="1"/>
  <c r="D35" i="1"/>
  <c r="D38" i="1" s="1"/>
  <c r="D41" i="1" s="1"/>
  <c r="D42" i="1" s="1"/>
  <c r="F41" i="1" l="1"/>
  <c r="I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Miguel Antunez</author>
  </authors>
  <commentList>
    <comment ref="E29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Miguel Antunez:</t>
        </r>
        <r>
          <rPr>
            <sz val="9"/>
            <color indexed="81"/>
            <rFont val="Tahoma"/>
            <family val="2"/>
          </rPr>
          <t xml:space="preserve">
Impacto Estado Año</t>
        </r>
      </text>
    </comment>
  </commentList>
</comments>
</file>

<file path=xl/sharedStrings.xml><?xml version="1.0" encoding="utf-8"?>
<sst xmlns="http://schemas.openxmlformats.org/spreadsheetml/2006/main" count="62" uniqueCount="60">
  <si>
    <t>Balance de Situación</t>
  </si>
  <si>
    <t>Activo</t>
  </si>
  <si>
    <t>Pasivo</t>
  </si>
  <si>
    <t>A) ACTIVO NO CORRIENTE</t>
  </si>
  <si>
    <t xml:space="preserve">  A) PATRIMONIO NETO</t>
  </si>
  <si>
    <t xml:space="preserve">    I. Capital</t>
  </si>
  <si>
    <t xml:space="preserve">  III. Reservas</t>
  </si>
  <si>
    <t xml:space="preserve">  VII. Resultado del ejercicio</t>
  </si>
  <si>
    <t xml:space="preserve">  B) PASIVO NO CORRIENTE</t>
  </si>
  <si>
    <t>B) ACTIVO CORRIENTE</t>
  </si>
  <si>
    <t xml:space="preserve">  C) PASIVO CORRIENTE</t>
  </si>
  <si>
    <t xml:space="preserve">   II. Existencias</t>
  </si>
  <si>
    <t xml:space="preserve">  III. Deudores comerc. y otras cuentas a cobrar</t>
  </si>
  <si>
    <t>T O T A L   A C T I V O</t>
  </si>
  <si>
    <t>T O T A L  PATRIMONIO NETO Y PASIVO</t>
  </si>
  <si>
    <t>Cuenta de Pérdidas y Ganancias</t>
  </si>
  <si>
    <t xml:space="preserve"> A) OPERACIONES CONTINUADAS</t>
  </si>
  <si>
    <t xml:space="preserve">  1. Importe neto de la cifra de negocios</t>
  </si>
  <si>
    <t xml:space="preserve"> A.1) RESULTADOS DE EXPLOTACIÓN</t>
  </si>
  <si>
    <t xml:space="preserve"> 15. Gastos financieros</t>
  </si>
  <si>
    <t xml:space="preserve"> A.3) RESULTADO ANTES DE IMPUESTOS</t>
  </si>
  <si>
    <t xml:space="preserve"> 20. Impuestos sobre beneficios</t>
  </si>
  <si>
    <t xml:space="preserve">      Deudas con entidades de crédito</t>
  </si>
  <si>
    <t xml:space="preserve">      Clientes por ventas y prest. servicios</t>
  </si>
  <si>
    <t xml:space="preserve">     Tesorería</t>
  </si>
  <si>
    <t>Período: de Enero a diciembre</t>
  </si>
  <si>
    <t>Total Gastos</t>
  </si>
  <si>
    <t xml:space="preserve">  4. Aprov</t>
  </si>
  <si>
    <t xml:space="preserve"> 13. Otros</t>
  </si>
  <si>
    <t xml:space="preserve"> A.5) RESULTADO</t>
  </si>
  <si>
    <t xml:space="preserve">   I. Inm intangible</t>
  </si>
  <si>
    <t xml:space="preserve">   II. Inm material</t>
  </si>
  <si>
    <t xml:space="preserve">    V. Inv fin largo plazo</t>
  </si>
  <si>
    <t>Incremento 0,20 del porcentaje de incremento en compras</t>
  </si>
  <si>
    <t>Incremento 0,30 del porcentaje de incremento en compras</t>
  </si>
  <si>
    <t>Se actualiza solo al modificar los incrementos en compras 10, 20</t>
  </si>
  <si>
    <t>Reduccion de un 20%</t>
  </si>
  <si>
    <t>Se actualiza en base % incremento en compras (50%  del incremento)</t>
  </si>
  <si>
    <t>Reduccion de un 10% + Financiacion 2018</t>
  </si>
  <si>
    <t>Se actualiza solo al modificar los incrementos en compras -50, -30, - Inversiones, - Reparto Dividendos</t>
  </si>
  <si>
    <t>Se actualiza solo al modificar los incrementos en compras -15, 10 + Incremento de ventas por rebaja (20% del porcentaje de rebaja)</t>
  </si>
  <si>
    <t>Product Strategy</t>
  </si>
  <si>
    <t>Staff Costs</t>
  </si>
  <si>
    <t>Other Costs</t>
  </si>
  <si>
    <t>Bank financing</t>
  </si>
  <si>
    <t>Investments</t>
  </si>
  <si>
    <t>Dividend distribution</t>
  </si>
  <si>
    <t>IMPACTS</t>
  </si>
  <si>
    <t>Other Debts</t>
  </si>
  <si>
    <t>Bank Debt</t>
  </si>
  <si>
    <t>Providers</t>
  </si>
  <si>
    <t>Turnover</t>
  </si>
  <si>
    <t>Debt</t>
  </si>
  <si>
    <t>Treasury</t>
  </si>
  <si>
    <t>Net Profit</t>
  </si>
  <si>
    <t>KPI´s 2018 Vs 2017</t>
  </si>
  <si>
    <t>2018 Situation</t>
  </si>
  <si>
    <t>Increase Customer Debt</t>
  </si>
  <si>
    <t>Good Year</t>
  </si>
  <si>
    <t>Three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</si>
</sst>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;\(#,##0.00\)"/>
  </numFmts>
  <fonts count="2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6"/>
      <color theme="0"/>
      <name val="Bahnschrift SemiLight"/>
      <family val="2"/>
    </font>
    <font>
      <sz val="14"/>
      <name val="Bahnschrift SemiLight"/>
      <family val="2"/>
    </font>
    <font>
      <sz val="16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8"/>
      <name val="Calibri"/>
      <family val="2"/>
      <scheme val="minor"/>
    </font>
    <font>
      <sz val="18"/>
      <name val="Bahnschrift SemiLight"/>
      <family val="2"/>
    </font>
    <font>
      <sz val="26"/>
      <color theme="0"/>
      <name val="Bahnschrift SemiLight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4" fillId="0" borderId="0"/>
    <xf numFmtId="164" fontId="3" fillId="0" borderId="0" applyFont="0" applyFill="0" applyBorder="0" applyAlignment="0" applyProtection="0"/>
  </cellStyleXfs>
  <cellXfs count="68">
    <xf numFmtId="0" fontId="0" fillId="0" borderId="0" xfId="0"/>
    <xf numFmtId="0" fontId="6" fillId="0" borderId="0" xfId="2" applyFont="1" applyFill="1" applyAlignment="1">
      <alignment vertical="center"/>
    </xf>
    <xf numFmtId="0" fontId="6" fillId="0" borderId="0" xfId="2" applyFont="1" applyFill="1" applyAlignment="1">
      <alignment horizontal="center" vertical="center"/>
    </xf>
    <xf numFmtId="165" fontId="2" fillId="0" borderId="0" xfId="2" applyNumberFormat="1" applyFont="1" applyFill="1" applyAlignment="1">
      <alignment horizontal="center" vertical="center"/>
    </xf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65" fontId="2" fillId="0" borderId="0" xfId="0" applyNumberFormat="1" applyFont="1" applyFill="1" applyAlignment="1">
      <alignment horizontal="center" vertical="center"/>
    </xf>
    <xf numFmtId="165" fontId="5" fillId="0" borderId="0" xfId="2" applyNumberFormat="1" applyFont="1" applyFill="1" applyAlignment="1">
      <alignment horizontal="center" vertical="center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horizontal="center" vertical="center"/>
    </xf>
    <xf numFmtId="165" fontId="5" fillId="0" borderId="0" xfId="2" applyNumberFormat="1" applyFont="1" applyFill="1" applyAlignment="1">
      <alignment horizontal="right" vertical="center"/>
    </xf>
    <xf numFmtId="0" fontId="7" fillId="2" borderId="0" xfId="2" applyNumberFormat="1" applyFont="1" applyFill="1" applyBorder="1" applyAlignment="1">
      <alignment vertical="center"/>
    </xf>
    <xf numFmtId="0" fontId="7" fillId="2" borderId="0" xfId="2" applyNumberFormat="1" applyFont="1" applyFill="1" applyBorder="1" applyAlignment="1">
      <alignment horizontal="center" vertical="center"/>
    </xf>
    <xf numFmtId="0" fontId="8" fillId="0" borderId="0" xfId="2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3" fontId="5" fillId="0" borderId="0" xfId="2" applyNumberFormat="1" applyFont="1" applyFill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3" fontId="2" fillId="0" borderId="0" xfId="2" applyNumberFormat="1" applyFont="1" applyFill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3" fontId="7" fillId="2" borderId="0" xfId="2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0" fontId="2" fillId="0" borderId="0" xfId="1" applyNumberFormat="1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4" fontId="13" fillId="0" borderId="0" xfId="0" applyNumberFormat="1" applyFont="1" applyFill="1" applyAlignment="1">
      <alignment vertical="center"/>
    </xf>
    <xf numFmtId="9" fontId="2" fillId="0" borderId="0" xfId="1" applyFont="1" applyFill="1" applyAlignment="1">
      <alignment vertical="center"/>
    </xf>
    <xf numFmtId="4" fontId="2" fillId="0" borderId="0" xfId="0" applyNumberFormat="1" applyFont="1" applyFill="1" applyAlignment="1">
      <alignment horizontal="center" vertical="center"/>
    </xf>
    <xf numFmtId="3" fontId="5" fillId="8" borderId="0" xfId="0" applyNumberFormat="1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4" fontId="5" fillId="6" borderId="0" xfId="0" applyNumberFormat="1" applyFont="1" applyFill="1" applyAlignment="1">
      <alignment horizontal="center" vertical="center"/>
    </xf>
    <xf numFmtId="3" fontId="5" fillId="6" borderId="0" xfId="0" applyNumberFormat="1" applyFont="1" applyFill="1" applyAlignment="1">
      <alignment horizontal="center" vertical="center"/>
    </xf>
    <xf numFmtId="3" fontId="5" fillId="6" borderId="0" xfId="2" applyNumberFormat="1" applyFont="1" applyFill="1" applyAlignment="1">
      <alignment horizontal="center" vertical="center"/>
    </xf>
    <xf numFmtId="165" fontId="17" fillId="0" borderId="0" xfId="0" applyNumberFormat="1" applyFont="1" applyFill="1" applyAlignment="1">
      <alignment horizontal="center" vertical="center"/>
    </xf>
    <xf numFmtId="0" fontId="1" fillId="0" borderId="0" xfId="2" applyFont="1" applyFill="1" applyAlignment="1">
      <alignment vertical="center"/>
    </xf>
    <xf numFmtId="0" fontId="7" fillId="0" borderId="0" xfId="2" applyNumberFormat="1" applyFont="1" applyFill="1" applyBorder="1" applyAlignment="1">
      <alignment horizontal="center" vertical="center"/>
    </xf>
    <xf numFmtId="4" fontId="5" fillId="0" borderId="0" xfId="0" applyNumberFormat="1" applyFont="1" applyFill="1" applyAlignment="1">
      <alignment horizontal="center" vertical="center"/>
    </xf>
    <xf numFmtId="0" fontId="0" fillId="0" borderId="0" xfId="0" applyProtection="1"/>
    <xf numFmtId="0" fontId="21" fillId="4" borderId="1" xfId="0" applyFont="1" applyFill="1" applyBorder="1" applyAlignment="1" applyProtection="1">
      <alignment horizontal="center"/>
    </xf>
    <xf numFmtId="0" fontId="18" fillId="0" borderId="8" xfId="0" applyFont="1" applyFill="1" applyBorder="1" applyAlignment="1" applyProtection="1"/>
    <xf numFmtId="0" fontId="0" fillId="0" borderId="0" xfId="0" applyBorder="1" applyProtection="1"/>
    <xf numFmtId="0" fontId="19" fillId="3" borderId="4" xfId="0" applyFont="1" applyFill="1" applyBorder="1" applyAlignment="1" applyProtection="1">
      <alignment horizontal="center"/>
    </xf>
    <xf numFmtId="9" fontId="0" fillId="0" borderId="5" xfId="0" applyNumberFormat="1" applyBorder="1" applyAlignment="1" applyProtection="1">
      <alignment horizontal="center"/>
    </xf>
    <xf numFmtId="0" fontId="20" fillId="8" borderId="1" xfId="0" applyFont="1" applyFill="1" applyBorder="1" applyAlignment="1" applyProtection="1">
      <alignment horizontal="center"/>
    </xf>
    <xf numFmtId="9" fontId="0" fillId="0" borderId="5" xfId="1" applyFont="1" applyBorder="1" applyAlignment="1" applyProtection="1">
      <alignment horizontal="center"/>
    </xf>
    <xf numFmtId="0" fontId="19" fillId="3" borderId="6" xfId="0" applyFont="1" applyFill="1" applyBorder="1" applyAlignment="1" applyProtection="1">
      <alignment horizontal="center"/>
    </xf>
    <xf numFmtId="9" fontId="0" fillId="0" borderId="7" xfId="0" applyNumberFormat="1" applyBorder="1" applyAlignment="1" applyProtection="1">
      <alignment horizontal="center"/>
    </xf>
    <xf numFmtId="0" fontId="0" fillId="4" borderId="0" xfId="0" applyFill="1" applyProtection="1"/>
    <xf numFmtId="9" fontId="0" fillId="0" borderId="0" xfId="0" applyNumberFormat="1" applyProtection="1"/>
    <xf numFmtId="0" fontId="0" fillId="0" borderId="0" xfId="0" applyFill="1" applyProtection="1"/>
    <xf numFmtId="164" fontId="17" fillId="0" borderId="0" xfId="3" applyNumberFormat="1" applyFont="1" applyFill="1" applyBorder="1" applyAlignment="1">
      <alignment horizontal="center" vertical="center"/>
    </xf>
    <xf numFmtId="3" fontId="24" fillId="0" borderId="0" xfId="0" applyNumberFormat="1" applyFont="1" applyFill="1" applyAlignment="1">
      <alignment horizontal="center" vertical="center"/>
    </xf>
    <xf numFmtId="2" fontId="2" fillId="0" borderId="0" xfId="0" applyNumberFormat="1" applyFont="1" applyFill="1" applyAlignment="1">
      <alignment vertical="center"/>
    </xf>
    <xf numFmtId="9" fontId="12" fillId="5" borderId="0" xfId="1" applyFont="1" applyFill="1" applyAlignment="1" applyProtection="1">
      <alignment horizontal="center" vertical="center"/>
    </xf>
    <xf numFmtId="0" fontId="10" fillId="4" borderId="0" xfId="0" applyFont="1" applyFill="1" applyBorder="1" applyAlignment="1" applyProtection="1">
      <alignment horizontal="center"/>
    </xf>
    <xf numFmtId="9" fontId="14" fillId="5" borderId="0" xfId="1" applyFont="1" applyFill="1" applyAlignment="1" applyProtection="1">
      <alignment horizontal="center" vertical="center"/>
    </xf>
    <xf numFmtId="0" fontId="18" fillId="9" borderId="2" xfId="0" applyFont="1" applyFill="1" applyBorder="1" applyAlignment="1" applyProtection="1">
      <alignment horizontal="center"/>
    </xf>
    <xf numFmtId="0" fontId="18" fillId="9" borderId="3" xfId="0" applyFont="1" applyFill="1" applyBorder="1" applyAlignment="1" applyProtection="1">
      <alignment horizontal="center"/>
    </xf>
    <xf numFmtId="0" fontId="16" fillId="7" borderId="0" xfId="0" applyFont="1" applyFill="1" applyAlignment="1" applyProtection="1">
      <alignment horizontal="center" vertical="center"/>
    </xf>
    <xf numFmtId="9" fontId="15" fillId="5" borderId="0" xfId="0" applyNumberFormat="1" applyFont="1" applyFill="1" applyBorder="1" applyAlignment="1" applyProtection="1">
      <alignment horizontal="center" vertical="center" wrapText="1"/>
    </xf>
    <xf numFmtId="0" fontId="15" fillId="5" borderId="0" xfId="0" applyFont="1" applyFill="1" applyBorder="1" applyAlignment="1" applyProtection="1">
      <alignment horizontal="center" vertical="center" wrapText="1"/>
    </xf>
    <xf numFmtId="3" fontId="14" fillId="5" borderId="0" xfId="1" applyNumberFormat="1" applyFont="1" applyFill="1" applyAlignment="1" applyProtection="1">
      <alignment horizontal="center" vertical="center"/>
    </xf>
    <xf numFmtId="0" fontId="11" fillId="5" borderId="0" xfId="0" applyFont="1" applyFill="1" applyBorder="1" applyAlignment="1" applyProtection="1">
      <alignment horizontal="center" vertical="center" wrapText="1"/>
    </xf>
  </cellXfs>
  <cellStyles count="4">
    <cellStyle name="Millares" xfId="3" builtinId="3"/>
    <cellStyle name="Normal" xfId="0" builtinId="0"/>
    <cellStyle name="Normal 2" xfId="2" xr:uid="{00000000-0005-0000-0000-000001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Purchases</a:t>
            </a:r>
          </a:p>
        </c:rich>
      </c:tx>
      <c:layout>
        <c:manualLayout>
          <c:xMode val="edge"/>
          <c:yMode val="edge"/>
          <c:x val="0.2056104590526785"/>
          <c:y val="6.837610518936950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2173088458496618E-2"/>
          <c:y val="0.21933385521709683"/>
          <c:w val="0.9445141806872559"/>
          <c:h val="0.6093726949984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'Balance Situacion'!$A$30</c:f>
              <c:strCache>
                <c:ptCount val="1"/>
                <c:pt idx="0">
                  <c:v>  4. Aprov</c:v>
                </c:pt>
              </c:strCache>
            </c:strRef>
          </c:tx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'Balance Situacion'!$B$26:$D$26</c:f>
              <c:numCache>
                <c:formatCode>#,##0</c:formatCode>
                <c:ptCount val="3"/>
                <c:pt idx="0">
                  <c:v>2016</c:v>
                </c:pt>
                <c:pt idx="1">
                  <c:v>2017</c:v>
                </c:pt>
                <c:pt idx="2" formatCode="General">
                  <c:v>2018</c:v>
                </c:pt>
              </c:numCache>
            </c:numRef>
          </c:cat>
          <c:val>
            <c:numRef>
              <c:f>'Balance Situacion'!$B$30:$D$30</c:f>
              <c:numCache>
                <c:formatCode>#,##0</c:formatCode>
                <c:ptCount val="3"/>
                <c:pt idx="0">
                  <c:v>207199.31</c:v>
                </c:pt>
                <c:pt idx="1">
                  <c:v>706338.2</c:v>
                </c:pt>
                <c:pt idx="2">
                  <c:v>824061.23333333328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DE-412E-B0F3-E7F30EADF0D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56229248"/>
        <c:axId val="177224320"/>
      </c:barChart>
      <c:catAx>
        <c:axId val="56229248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24320"/>
        <c:crosses val="autoZero"/>
        <c:auto val="1"/>
        <c:lblAlgn val="ctr"/>
        <c:lblOffset val="100"/>
        <c:noMultiLvlLbl val="0"/>
      </c:catAx>
      <c:valAx>
        <c:axId val="177224320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56229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bg1"/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Turnover</a:t>
            </a:r>
          </a:p>
        </c:rich>
      </c:tx>
      <c:layout>
        <c:manualLayout>
          <c:xMode val="edge"/>
          <c:yMode val="edge"/>
          <c:x val="0.34086484077022389"/>
          <c:y val="6.837653090573098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8358345243051357E-2"/>
          <c:y val="0.21933385521709683"/>
          <c:w val="0.93306978764356996"/>
          <c:h val="0.6093726949984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'Balance Situacion'!$A$29</c:f>
              <c:strCache>
                <c:ptCount val="1"/>
                <c:pt idx="0">
                  <c:v>  1. Importe neto de la cifra de negocios</c:v>
                </c:pt>
              </c:strCache>
            </c:strRef>
          </c:tx>
          <c:spPr>
            <a:gradFill>
              <a:gsLst>
                <a:gs pos="0">
                  <a:schemeClr val="accent6"/>
                </a:gs>
                <a:gs pos="100000">
                  <a:schemeClr val="accent6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'Balance Situacion'!$B$26:$D$26</c:f>
              <c:numCache>
                <c:formatCode>#,##0</c:formatCode>
                <c:ptCount val="3"/>
                <c:pt idx="0">
                  <c:v>2016</c:v>
                </c:pt>
                <c:pt idx="1">
                  <c:v>2017</c:v>
                </c:pt>
                <c:pt idx="2" formatCode="General">
                  <c:v>2018</c:v>
                </c:pt>
              </c:numCache>
            </c:numRef>
          </c:cat>
          <c:val>
            <c:numRef>
              <c:f>'Balance Situacion'!$B$29:$D$29</c:f>
              <c:numCache>
                <c:formatCode>#,##0</c:formatCode>
                <c:ptCount val="3"/>
                <c:pt idx="0">
                  <c:v>337139.62</c:v>
                </c:pt>
                <c:pt idx="1">
                  <c:v>934178.40999999992</c:v>
                </c:pt>
                <c:pt idx="2">
                  <c:v>1728817.2722499999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DC-485D-A38F-2A98B48A791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202836992"/>
        <c:axId val="285505408"/>
      </c:barChart>
      <c:catAx>
        <c:axId val="202836992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s-ES"/>
          </a:p>
        </c:txPr>
        <c:crossAx val="285505408"/>
        <c:crosses val="autoZero"/>
        <c:auto val="1"/>
        <c:lblAlgn val="ctr"/>
        <c:lblOffset val="100"/>
        <c:noMultiLvlLbl val="0"/>
      </c:catAx>
      <c:valAx>
        <c:axId val="285505408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202836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bg1"/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'Balance Situacion'!$A$41</c:f>
              <c:strCache>
                <c:ptCount val="1"/>
                <c:pt idx="0">
                  <c:v> A.5) RESULTADO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'Balance Situacion'!$B$26:$D$26</c:f>
              <c:numCache>
                <c:formatCode>#,##0</c:formatCode>
                <c:ptCount val="3"/>
                <c:pt idx="0">
                  <c:v>2016</c:v>
                </c:pt>
                <c:pt idx="1">
                  <c:v>2017</c:v>
                </c:pt>
                <c:pt idx="2" formatCode="General">
                  <c:v>2018</c:v>
                </c:pt>
              </c:numCache>
            </c:numRef>
          </c:cat>
          <c:val>
            <c:numRef>
              <c:f>'Balance Situacion'!$B$42:$D$42</c:f>
              <c:numCache>
                <c:formatCode>#,##0</c:formatCode>
                <c:ptCount val="3"/>
                <c:pt idx="0">
                  <c:v>-57676.800000000003</c:v>
                </c:pt>
                <c:pt idx="1">
                  <c:v>42775.099999999977</c:v>
                </c:pt>
                <c:pt idx="2">
                  <c:v>567342.69090703758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D2-492E-B8A2-34125AFD6A4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24823680"/>
        <c:axId val="335103872"/>
      </c:barChart>
      <c:catAx>
        <c:axId val="324823680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5103872"/>
        <c:crosses val="autoZero"/>
        <c:auto val="1"/>
        <c:lblAlgn val="ctr"/>
        <c:lblOffset val="100"/>
        <c:noMultiLvlLbl val="0"/>
      </c:catAx>
      <c:valAx>
        <c:axId val="33510387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324823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bg1"/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787073218738863E-2"/>
          <c:y val="3.8811200603228645E-2"/>
          <c:w val="0.96212926781261143"/>
          <c:h val="0.72772303552853979"/>
        </c:manualLayout>
      </c:layout>
      <c:lineChart>
        <c:grouping val="standard"/>
        <c:varyColors val="0"/>
        <c:ser>
          <c:idx val="0"/>
          <c:order val="0"/>
          <c:tx>
            <c:strRef>
              <c:f>'Balance Situacion'!$A$31</c:f>
              <c:strCache>
                <c:ptCount val="1"/>
                <c:pt idx="0">
                  <c:v>Staff Costs</c:v>
                </c:pt>
              </c:strCache>
            </c:strRef>
          </c:tx>
          <c:spPr>
            <a:ln w="317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6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'Balance Situacion'!$B$26:$D$26</c:f>
              <c:numCache>
                <c:formatCode>#,##0</c:formatCode>
                <c:ptCount val="3"/>
                <c:pt idx="0">
                  <c:v>2016</c:v>
                </c:pt>
                <c:pt idx="1">
                  <c:v>2017</c:v>
                </c:pt>
                <c:pt idx="2" formatCode="General">
                  <c:v>2018</c:v>
                </c:pt>
              </c:numCache>
            </c:numRef>
          </c:cat>
          <c:val>
            <c:numRef>
              <c:f>'Balance Situacion'!$B$31:$D$31</c:f>
              <c:numCache>
                <c:formatCode>#,##0</c:formatCode>
                <c:ptCount val="3"/>
                <c:pt idx="0">
                  <c:v>68700.58</c:v>
                </c:pt>
                <c:pt idx="1">
                  <c:v>81844.539999999994</c:v>
                </c:pt>
                <c:pt idx="2">
                  <c:v>99249.366382942913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3C-4D5F-8F02-CAEB0F73E9C2}"/>
            </c:ext>
          </c:extLst>
        </c:ser>
        <c:ser>
          <c:idx val="1"/>
          <c:order val="1"/>
          <c:tx>
            <c:strRef>
              <c:f>'Balance Situacion'!$A$32</c:f>
              <c:strCache>
                <c:ptCount val="1"/>
                <c:pt idx="0">
                  <c:v>Other Costs</c:v>
                </c:pt>
              </c:strCache>
            </c:strRef>
          </c:tx>
          <c:spPr>
            <a:ln w="317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5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'Balance Situacion'!$B$26:$D$26</c:f>
              <c:numCache>
                <c:formatCode>#,##0</c:formatCode>
                <c:ptCount val="3"/>
                <c:pt idx="0">
                  <c:v>2016</c:v>
                </c:pt>
                <c:pt idx="1">
                  <c:v>2017</c:v>
                </c:pt>
                <c:pt idx="2" formatCode="General">
                  <c:v>2018</c:v>
                </c:pt>
              </c:numCache>
            </c:numRef>
          </c:cat>
          <c:val>
            <c:numRef>
              <c:f>'Balance Situacion'!$B$32:$D$32</c:f>
              <c:numCache>
                <c:formatCode>#,##0</c:formatCode>
                <c:ptCount val="3"/>
                <c:pt idx="0">
                  <c:v>49978.87</c:v>
                </c:pt>
                <c:pt idx="1">
                  <c:v>101534.85</c:v>
                </c:pt>
                <c:pt idx="2">
                  <c:v>108303.84000000001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3C-4D5F-8F02-CAEB0F73E9C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2864128"/>
        <c:axId val="202865664"/>
      </c:lineChart>
      <c:catAx>
        <c:axId val="202864128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2865664"/>
        <c:crosses val="autoZero"/>
        <c:auto val="1"/>
        <c:lblAlgn val="ctr"/>
        <c:lblOffset val="100"/>
        <c:noMultiLvlLbl val="0"/>
      </c:catAx>
      <c:valAx>
        <c:axId val="20286566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20286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990182308292544"/>
          <c:y val="0.87455551430628931"/>
          <c:w val="0.56019635383414912"/>
          <c:h val="0.10650958150879877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bg1"/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86851508227392"/>
          <c:y val="3.0536437598501592E-2"/>
          <c:w val="0.5169854949908318"/>
          <c:h val="0.95028548158879078"/>
        </c:manualLayout>
      </c:layout>
      <c:doughnutChart>
        <c:varyColors val="1"/>
        <c:ser>
          <c:idx val="0"/>
          <c:order val="0"/>
          <c:spPr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7CD-4DCC-A7D2-A56E6B259E59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7CD-4DCC-A7D2-A56E6B259E59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7CD-4DCC-A7D2-A56E6B259E59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'Balance Situacion'!$B$7:$D$7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'Balance Situacion'!$B$17:$D$17</c:f>
              <c:numCache>
                <c:formatCode>#,##0</c:formatCode>
                <c:ptCount val="3"/>
                <c:pt idx="0">
                  <c:v>83483.33</c:v>
                </c:pt>
                <c:pt idx="1">
                  <c:v>540072.79</c:v>
                </c:pt>
                <c:pt idx="2" formatCode="#,##0.00">
                  <c:v>599480.79690000007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33-465C-80B9-2E8D26D1E97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567845586608339"/>
          <c:y val="0.29982739727268565"/>
          <c:w val="0.16389800487662742"/>
          <c:h val="0.38116662128021994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bg1"/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Treasury</a:t>
            </a:r>
          </a:p>
        </c:rich>
      </c:tx>
      <c:layout>
        <c:manualLayout>
          <c:xMode val="edge"/>
          <c:yMode val="edge"/>
          <c:x val="0.37681465413716603"/>
          <c:y val="3.2237970253718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224514831058841"/>
          <c:y val="0.18348316763194289"/>
          <c:w val="0.78238355232709167"/>
          <c:h val="0.6673232941905681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'Balance Situacion'!$A$18</c:f>
              <c:strCache>
                <c:ptCount val="1"/>
                <c:pt idx="0">
                  <c:v>     Tesorería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'Balance Situacion'!$B$7:$D$7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'Balance Situacion'!$B$18:$D$18</c:f>
              <c:numCache>
                <c:formatCode>#,##0</c:formatCode>
                <c:ptCount val="3"/>
                <c:pt idx="0">
                  <c:v>10618.69</c:v>
                </c:pt>
                <c:pt idx="1">
                  <c:v>108467.86</c:v>
                </c:pt>
                <c:pt idx="2" formatCode="#,##0.00">
                  <c:v>68229.967399999994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6D-415D-9AFA-DF9AD6A39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203389568"/>
        <c:axId val="203388032"/>
      </c:barChart>
      <c:valAx>
        <c:axId val="203388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389568"/>
        <c:crosses val="autoZero"/>
        <c:crossBetween val="between"/>
      </c:valAx>
      <c:catAx>
        <c:axId val="2033895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3880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solidFill>
        <a:schemeClr val="bg1"/>
      </a:solidFill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Bank Debt</c:v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'Balance Situacion'!$H$7:$J$7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'Balance Situacion'!$H$20:$J$20</c:f>
              <c:numCache>
                <c:formatCode>#,##0</c:formatCode>
                <c:ptCount val="3"/>
                <c:pt idx="0">
                  <c:v>47929</c:v>
                </c:pt>
                <c:pt idx="1">
                  <c:v>123732.22</c:v>
                </c:pt>
                <c:pt idx="2">
                  <c:v>211358.99800000002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F7-4BEA-B033-49AE09DD06D7}"/>
            </c:ext>
          </c:extLst>
        </c:ser>
        <c:ser>
          <c:idx val="1"/>
          <c:order val="1"/>
          <c:tx>
            <c:v>Providers</c:v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4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'Balance Situacion'!$H$7:$J$7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'Balance Situacion'!$H$21:$J$21</c:f>
              <c:numCache>
                <c:formatCode>#,##0</c:formatCode>
                <c:ptCount val="3"/>
                <c:pt idx="0">
                  <c:v>71927.179999999993</c:v>
                </c:pt>
                <c:pt idx="1">
                  <c:v>365522.13</c:v>
                </c:pt>
                <c:pt idx="2">
                  <c:v>402074.34299999999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F7-4BEA-B033-49AE09DD06D7}"/>
            </c:ext>
          </c:extLst>
        </c:ser>
        <c:ser>
          <c:idx val="2"/>
          <c:order val="2"/>
          <c:tx>
            <c:v>Other Debts</c:v>
          </c:tx>
          <c:spPr>
            <a:ln w="317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6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'Balance Situacion'!$H$7:$J$7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'Balance Situacion'!$H$22:$J$22</c:f>
              <c:numCache>
                <c:formatCode>#,##0</c:formatCode>
                <c:ptCount val="3"/>
                <c:pt idx="0">
                  <c:v>3595.64</c:v>
                </c:pt>
                <c:pt idx="1">
                  <c:v>53378.79</c:v>
                </c:pt>
                <c:pt idx="2">
                  <c:v>42703.032000000007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F7-4BEA-B033-49AE09DD06D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3401472"/>
        <c:axId val="203411456"/>
      </c:lineChart>
      <c:catAx>
        <c:axId val="203401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411456"/>
        <c:crosses val="autoZero"/>
        <c:auto val="1"/>
        <c:lblAlgn val="ctr"/>
        <c:lblOffset val="100"/>
        <c:noMultiLvlLbl val="0"/>
      </c:catAx>
      <c:valAx>
        <c:axId val="20341145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203401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bg1"/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/>
              <a:t>Investments</a:t>
            </a:r>
          </a:p>
        </c:rich>
      </c:tx>
      <c:layout>
        <c:manualLayout>
          <c:xMode val="edge"/>
          <c:yMode val="edge"/>
          <c:x val="0.41114404171459495"/>
          <c:y val="5.09115342391274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736351706036745"/>
          <c:y val="5.1400554097404488E-2"/>
          <c:w val="0.87319203849518801"/>
          <c:h val="0.7687998798085983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'Balance Situacion'!$A$9</c:f>
              <c:strCache>
                <c:ptCount val="1"/>
                <c:pt idx="0">
                  <c:v>A) ACTIVO NO CORRIENTE</c:v>
                </c:pt>
              </c:strCache>
            </c:strRef>
          </c:tx>
          <c:spPr>
            <a:noFill/>
            <a:ln w="9525" cap="flat" cmpd="sng" algn="ctr">
              <a:solidFill>
                <a:schemeClr val="accent4"/>
              </a:solidFill>
              <a:miter lim="800000"/>
            </a:ln>
            <a:effectLst>
              <a:glow rad="63500">
                <a:schemeClr val="accent4">
                  <a:satMod val="175000"/>
                  <a:alpha val="25000"/>
                </a:schemeClr>
              </a:glow>
            </a:effectLst>
          </c:spPr>
          <c:invertIfNegative val="0"/>
          <c:cat>
            <c:numRef>
              <c:f>'Balance Situacion'!$C$7:$D$7</c:f>
              <c:numCache>
                <c:formatCode>General</c:formatCode>
                <c:ptCount val="2"/>
                <c:pt idx="0">
                  <c:v>2017</c:v>
                </c:pt>
                <c:pt idx="1">
                  <c:v>2018</c:v>
                </c:pt>
              </c:numCache>
            </c:numRef>
          </c:cat>
          <c:val>
            <c:numRef>
              <c:f>'Balance Situacion'!$C$9:$D$9</c:f>
              <c:numCache>
                <c:formatCode>#,##0</c:formatCode>
                <c:ptCount val="2"/>
                <c:pt idx="0">
                  <c:v>21617.03</c:v>
                </c:pt>
                <c:pt idx="1">
                  <c:v>65111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E2-4FF0-83A2-35CC40C29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203510144"/>
        <c:axId val="203511680"/>
      </c:barChart>
      <c:catAx>
        <c:axId val="20351014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511680"/>
        <c:crosses val="autoZero"/>
        <c:auto val="1"/>
        <c:lblAlgn val="ctr"/>
        <c:lblOffset val="100"/>
        <c:noMultiLvlLbl val="0"/>
      </c:catAx>
      <c:valAx>
        <c:axId val="20351168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3510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</xdr:colOff>
      <xdr:row>15</xdr:row>
      <xdr:rowOff>9525</xdr:rowOff>
    </xdr:from>
    <xdr:to>
      <xdr:col>5</xdr:col>
      <xdr:colOff>0</xdr:colOff>
      <xdr:row>24</xdr:row>
      <xdr:rowOff>190500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9525</xdr:colOff>
      <xdr:row>26</xdr:row>
      <xdr:rowOff>9525</xdr:rowOff>
    </xdr:from>
    <xdr:to>
      <xdr:col>9</xdr:col>
      <xdr:colOff>190500</xdr:colOff>
      <xdr:row>36</xdr:row>
      <xdr:rowOff>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0</xdr:colOff>
      <xdr:row>15</xdr:row>
      <xdr:rowOff>9524</xdr:rowOff>
    </xdr:from>
    <xdr:to>
      <xdr:col>9</xdr:col>
      <xdr:colOff>190500</xdr:colOff>
      <xdr:row>24</xdr:row>
      <xdr:rowOff>200024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276224</xdr:colOff>
      <xdr:row>15</xdr:row>
      <xdr:rowOff>0</xdr:rowOff>
    </xdr:from>
    <xdr:to>
      <xdr:col>15</xdr:col>
      <xdr:colOff>0</xdr:colOff>
      <xdr:row>24</xdr:row>
      <xdr:rowOff>190500</xdr:rowOff>
    </xdr:to>
    <xdr:graphicFrame macro="">
      <xdr:nvGraphicFramePr>
        <xdr:cNvPr id="9" name="8 Gráfic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9525</xdr:colOff>
      <xdr:row>26</xdr:row>
      <xdr:rowOff>11906</xdr:rowOff>
    </xdr:from>
    <xdr:to>
      <xdr:col>20</xdr:col>
      <xdr:colOff>0</xdr:colOff>
      <xdr:row>35</xdr:row>
      <xdr:rowOff>190500</xdr:rowOff>
    </xdr:to>
    <xdr:graphicFrame macro="">
      <xdr:nvGraphicFramePr>
        <xdr:cNvPr id="10" name="9 Gráfic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276224</xdr:colOff>
      <xdr:row>25</xdr:row>
      <xdr:rowOff>200024</xdr:rowOff>
    </xdr:from>
    <xdr:to>
      <xdr:col>14</xdr:col>
      <xdr:colOff>228599</xdr:colOff>
      <xdr:row>36</xdr:row>
      <xdr:rowOff>9524</xdr:rowOff>
    </xdr:to>
    <xdr:graphicFrame macro="">
      <xdr:nvGraphicFramePr>
        <xdr:cNvPr id="11" name="10 Gráfic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838199</xdr:colOff>
      <xdr:row>8</xdr:row>
      <xdr:rowOff>0</xdr:rowOff>
    </xdr:from>
    <xdr:to>
      <xdr:col>5</xdr:col>
      <xdr:colOff>0</xdr:colOff>
      <xdr:row>11</xdr:row>
      <xdr:rowOff>0</xdr:rowOff>
    </xdr:to>
    <xdr:sp macro="" textlink="">
      <xdr:nvSpPr>
        <xdr:cNvPr id="13" name="12 Rectángul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838199" y="600075"/>
          <a:ext cx="3324226" cy="447675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  <a:effectLst>
          <a:outerShdw blurRad="50800" dist="508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5</xdr:col>
      <xdr:colOff>285750</xdr:colOff>
      <xdr:row>8</xdr:row>
      <xdr:rowOff>1</xdr:rowOff>
    </xdr:from>
    <xdr:to>
      <xdr:col>10</xdr:col>
      <xdr:colOff>9525</xdr:colOff>
      <xdr:row>11</xdr:row>
      <xdr:rowOff>0</xdr:rowOff>
    </xdr:to>
    <xdr:sp macro="" textlink="">
      <xdr:nvSpPr>
        <xdr:cNvPr id="14" name="13 Rectángul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798094" y="1619251"/>
          <a:ext cx="3462337" cy="452438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  <a:effectLst>
          <a:outerShdw blurRad="50800" dist="508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10</xdr:col>
      <xdr:colOff>266701</xdr:colOff>
      <xdr:row>8</xdr:row>
      <xdr:rowOff>1</xdr:rowOff>
    </xdr:from>
    <xdr:to>
      <xdr:col>15</xdr:col>
      <xdr:colOff>9525</xdr:colOff>
      <xdr:row>11</xdr:row>
      <xdr:rowOff>0</xdr:rowOff>
    </xdr:to>
    <xdr:sp macro="" textlink="">
      <xdr:nvSpPr>
        <xdr:cNvPr id="15" name="14 Rectángulo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7517607" y="1619251"/>
          <a:ext cx="3457574" cy="452438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  <a:effectLst>
          <a:outerShdw blurRad="50800" dist="508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9526</xdr:colOff>
      <xdr:row>37</xdr:row>
      <xdr:rowOff>9525</xdr:rowOff>
    </xdr:from>
    <xdr:to>
      <xdr:col>20</xdr:col>
      <xdr:colOff>95251</xdr:colOff>
      <xdr:row>39</xdr:row>
      <xdr:rowOff>47625</xdr:rowOff>
    </xdr:to>
    <xdr:sp macro="" textlink="">
      <xdr:nvSpPr>
        <xdr:cNvPr id="20" name="19 Rectángulo redondead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9526" y="7046119"/>
          <a:ext cx="14992350" cy="252412"/>
        </a:xfrm>
        <a:prstGeom prst="roundRect">
          <a:avLst/>
        </a:prstGeom>
        <a:ln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838199</xdr:colOff>
      <xdr:row>44</xdr:row>
      <xdr:rowOff>0</xdr:rowOff>
    </xdr:from>
    <xdr:to>
      <xdr:col>5</xdr:col>
      <xdr:colOff>0</xdr:colOff>
      <xdr:row>47</xdr:row>
      <xdr:rowOff>0</xdr:rowOff>
    </xdr:to>
    <xdr:sp macro="" textlink="">
      <xdr:nvSpPr>
        <xdr:cNvPr id="18" name="17 Rectángul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80974" y="1619250"/>
          <a:ext cx="3271839" cy="452438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  <a:effectLst>
          <a:outerShdw blurRad="50800" dist="508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5</xdr:col>
      <xdr:colOff>285750</xdr:colOff>
      <xdr:row>44</xdr:row>
      <xdr:rowOff>0</xdr:rowOff>
    </xdr:from>
    <xdr:to>
      <xdr:col>10</xdr:col>
      <xdr:colOff>9525</xdr:colOff>
      <xdr:row>47</xdr:row>
      <xdr:rowOff>9525</xdr:rowOff>
    </xdr:to>
    <xdr:sp macro="" textlink="">
      <xdr:nvSpPr>
        <xdr:cNvPr id="21" name="20 Rectángulo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738563" y="1619250"/>
          <a:ext cx="3462337" cy="461963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  <a:effectLst>
          <a:outerShdw blurRad="50800" dist="508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10</xdr:col>
      <xdr:colOff>266701</xdr:colOff>
      <xdr:row>44</xdr:row>
      <xdr:rowOff>0</xdr:rowOff>
    </xdr:from>
    <xdr:to>
      <xdr:col>15</xdr:col>
      <xdr:colOff>9525</xdr:colOff>
      <xdr:row>47</xdr:row>
      <xdr:rowOff>9525</xdr:rowOff>
    </xdr:to>
    <xdr:sp macro="" textlink="">
      <xdr:nvSpPr>
        <xdr:cNvPr id="22" name="21 Rectángul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7458076" y="1619250"/>
          <a:ext cx="3457574" cy="461963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  <a:effectLst>
          <a:outerShdw blurRad="50800" dist="508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16</xdr:col>
      <xdr:colOff>1</xdr:colOff>
      <xdr:row>44</xdr:row>
      <xdr:rowOff>0</xdr:rowOff>
    </xdr:from>
    <xdr:to>
      <xdr:col>20</xdr:col>
      <xdr:colOff>9525</xdr:colOff>
      <xdr:row>47</xdr:row>
      <xdr:rowOff>9525</xdr:rowOff>
    </xdr:to>
    <xdr:sp macro="" textlink="">
      <xdr:nvSpPr>
        <xdr:cNvPr id="23" name="22 Rectángul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1144251" y="1619250"/>
          <a:ext cx="3462337" cy="461963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  <a:effectLst>
          <a:outerShdw blurRad="50800" dist="508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2380</xdr:colOff>
      <xdr:row>40</xdr:row>
      <xdr:rowOff>0</xdr:rowOff>
    </xdr:from>
    <xdr:to>
      <xdr:col>5</xdr:col>
      <xdr:colOff>0</xdr:colOff>
      <xdr:row>43</xdr:row>
      <xdr:rowOff>0</xdr:rowOff>
    </xdr:to>
    <xdr:sp macro="" textlink="">
      <xdr:nvSpPr>
        <xdr:cNvPr id="24" name="23 Rectángul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80974" y="7500938"/>
          <a:ext cx="3331370" cy="452437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  <a:effectLst>
          <a:outerShdw blurRad="50800" dist="508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5</xdr:col>
      <xdr:colOff>285750</xdr:colOff>
      <xdr:row>40</xdr:row>
      <xdr:rowOff>0</xdr:rowOff>
    </xdr:from>
    <xdr:to>
      <xdr:col>10</xdr:col>
      <xdr:colOff>9525</xdr:colOff>
      <xdr:row>43</xdr:row>
      <xdr:rowOff>9525</xdr:rowOff>
    </xdr:to>
    <xdr:sp macro="" textlink="">
      <xdr:nvSpPr>
        <xdr:cNvPr id="25" name="24 Rectángul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3798094" y="8310563"/>
          <a:ext cx="3462337" cy="461962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  <a:effectLst>
          <a:outerShdw blurRad="50800" dist="508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10</xdr:col>
      <xdr:colOff>266701</xdr:colOff>
      <xdr:row>40</xdr:row>
      <xdr:rowOff>0</xdr:rowOff>
    </xdr:from>
    <xdr:to>
      <xdr:col>15</xdr:col>
      <xdr:colOff>9525</xdr:colOff>
      <xdr:row>43</xdr:row>
      <xdr:rowOff>9525</xdr:rowOff>
    </xdr:to>
    <xdr:sp macro="" textlink="">
      <xdr:nvSpPr>
        <xdr:cNvPr id="26" name="25 Rectángul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7517607" y="8310563"/>
          <a:ext cx="3457574" cy="461962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  <a:effectLst>
          <a:outerShdw blurRad="50800" dist="508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16</xdr:col>
      <xdr:colOff>1</xdr:colOff>
      <xdr:row>40</xdr:row>
      <xdr:rowOff>0</xdr:rowOff>
    </xdr:from>
    <xdr:to>
      <xdr:col>20</xdr:col>
      <xdr:colOff>9525</xdr:colOff>
      <xdr:row>43</xdr:row>
      <xdr:rowOff>9525</xdr:rowOff>
    </xdr:to>
    <xdr:sp macro="" textlink="">
      <xdr:nvSpPr>
        <xdr:cNvPr id="27" name="26 Rectángul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1203782" y="8310563"/>
          <a:ext cx="3462337" cy="461962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  <a:effectLst>
          <a:outerShdw blurRad="50800" dist="508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16</xdr:col>
      <xdr:colOff>11906</xdr:colOff>
      <xdr:row>15</xdr:row>
      <xdr:rowOff>0</xdr:rowOff>
    </xdr:from>
    <xdr:to>
      <xdr:col>20</xdr:col>
      <xdr:colOff>0</xdr:colOff>
      <xdr:row>24</xdr:row>
      <xdr:rowOff>190500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9525</xdr:colOff>
      <xdr:row>12</xdr:row>
      <xdr:rowOff>9525</xdr:rowOff>
    </xdr:from>
    <xdr:to>
      <xdr:col>20</xdr:col>
      <xdr:colOff>35719</xdr:colOff>
      <xdr:row>14</xdr:row>
      <xdr:rowOff>0</xdr:rowOff>
    </xdr:to>
    <xdr:sp macro="" textlink="">
      <xdr:nvSpPr>
        <xdr:cNvPr id="28" name="27 Rectángulo redondead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9525" y="2200275"/>
          <a:ext cx="14932819" cy="228600"/>
        </a:xfrm>
        <a:prstGeom prst="roundRect">
          <a:avLst/>
        </a:prstGeom>
        <a:ln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1</xdr:col>
      <xdr:colOff>11906</xdr:colOff>
      <xdr:row>0</xdr:row>
      <xdr:rowOff>0</xdr:rowOff>
    </xdr:from>
    <xdr:to>
      <xdr:col>5</xdr:col>
      <xdr:colOff>274977</xdr:colOff>
      <xdr:row>6</xdr:row>
      <xdr:rowOff>116252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0"/>
          <a:ext cx="3631405" cy="1366408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0.048</cdr:x>
      <cdr:y>0.02412</cdr:y>
    </cdr:from>
    <cdr:to>
      <cdr:x>0.3638</cdr:x>
      <cdr:y>0.16771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73663" y="47625"/>
          <a:ext cx="1142537" cy="2835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800" b="1"/>
            <a:t>Net Profit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0.33357</cdr:x>
      <cdr:y>0.60947</cdr:y>
    </cdr:from>
    <cdr:to>
      <cdr:x>0.64936</cdr:x>
      <cdr:y>0.95898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75568" y="1226343"/>
          <a:ext cx="1112923" cy="7032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s-ES" sz="1800" b="1"/>
            <a:t>Costs Distribution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0.67219</cdr:x>
      <cdr:y>0.01106</cdr:y>
    </cdr:from>
    <cdr:to>
      <cdr:x>0.98536</cdr:x>
      <cdr:y>0.15329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2317750" y="22225"/>
          <a:ext cx="1079834" cy="2858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800" b="1"/>
            <a:t>Debt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0.02197</cdr:x>
      <cdr:y>0.02252</cdr:y>
    </cdr:from>
    <cdr:to>
      <cdr:x>0.33601</cdr:x>
      <cdr:y>0.33009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80054" y="45139"/>
          <a:ext cx="1144502" cy="616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800" b="1"/>
            <a:t>Current </a:t>
          </a:r>
        </a:p>
        <a:p xmlns:a="http://schemas.openxmlformats.org/drawingml/2006/main">
          <a:pPr algn="ctr"/>
          <a:r>
            <a:rPr lang="es-ES" sz="1800" b="1"/>
            <a:t>liabilities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U50"/>
  <sheetViews>
    <sheetView showGridLines="0" tabSelected="1" zoomScale="80" zoomScaleNormal="80" workbookViewId="0">
      <selection activeCell="M2" sqref="M2"/>
    </sheetView>
  </sheetViews>
  <sheetFormatPr baseColWidth="10" defaultColWidth="11" defaultRowHeight="15.75" x14ac:dyDescent="0.25"/>
  <cols>
    <col min="1" max="1" width="2.25" style="42" customWidth="1"/>
    <col min="2" max="2" width="2.625" style="42" customWidth="1"/>
    <col min="3" max="3" width="26.75" style="42" customWidth="1"/>
    <col min="4" max="4" width="12.125" style="42" bestFit="1" customWidth="1"/>
    <col min="5" max="5" width="2.625" style="42" customWidth="1"/>
    <col min="6" max="6" width="3.75" style="42" customWidth="1"/>
    <col min="7" max="7" width="2.625" style="42" customWidth="1"/>
    <col min="8" max="8" width="33.75" style="42" customWidth="1"/>
    <col min="9" max="9" width="8.75" style="42" bestFit="1" customWidth="1"/>
    <col min="10" max="10" width="5.125" style="42" customWidth="1"/>
    <col min="11" max="11" width="3.625" style="42" customWidth="1"/>
    <col min="12" max="12" width="2.625" style="42" customWidth="1"/>
    <col min="13" max="13" width="33.5" style="42" customWidth="1"/>
    <col min="14" max="14" width="8.75" style="42" customWidth="1"/>
    <col min="15" max="16" width="3.125" style="42" customWidth="1"/>
    <col min="17" max="17" width="2.625" style="42" customWidth="1"/>
    <col min="18" max="18" width="32.75" style="42" customWidth="1"/>
    <col min="19" max="19" width="6" style="42" customWidth="1"/>
    <col min="20" max="20" width="3.75" style="42" customWidth="1"/>
    <col min="21" max="21" width="3" style="42" customWidth="1"/>
    <col min="22" max="16384" width="11" style="42"/>
  </cols>
  <sheetData>
    <row r="1" spans="1:21" x14ac:dyDescent="0.25">
      <c r="H1" s="61" t="s">
        <v>55</v>
      </c>
      <c r="I1" s="62"/>
      <c r="M1" s="43" t="s">
        <v>56</v>
      </c>
      <c r="N1" s="44"/>
      <c r="O1" s="45"/>
    </row>
    <row r="2" spans="1:21" ht="18.75" x14ac:dyDescent="0.3">
      <c r="H2" s="46" t="s">
        <v>51</v>
      </c>
      <c r="I2" s="47">
        <f ca="1">'Balance Situacion'!F29</f>
        <v>0.85062858844061706</v>
      </c>
      <c r="M2" s="48" t="s">
        <v>58</v>
      </c>
    </row>
    <row r="3" spans="1:21" x14ac:dyDescent="0.25">
      <c r="H3" s="46" t="s">
        <v>42</v>
      </c>
      <c r="I3" s="47">
        <f ca="1">'Balance Situacion'!F31</f>
        <v>0.21265714711015438</v>
      </c>
    </row>
    <row r="4" spans="1:21" x14ac:dyDescent="0.25">
      <c r="H4" s="46" t="s">
        <v>43</v>
      </c>
      <c r="I4" s="47">
        <f>'Balance Situacion'!F32</f>
        <v>6.6666666666666652E-2</v>
      </c>
    </row>
    <row r="5" spans="1:21" x14ac:dyDescent="0.25">
      <c r="H5" s="46" t="s">
        <v>52</v>
      </c>
      <c r="I5" s="49">
        <f ca="1">'Balance Situacion'!F17</f>
        <v>0.1100000000000001</v>
      </c>
    </row>
    <row r="6" spans="1:21" x14ac:dyDescent="0.25">
      <c r="H6" s="46" t="s">
        <v>53</v>
      </c>
      <c r="I6" s="47">
        <f ca="1">'Balance Situacion'!F18</f>
        <v>-0.37096604100053243</v>
      </c>
    </row>
    <row r="7" spans="1:21" x14ac:dyDescent="0.25">
      <c r="H7" s="50" t="s">
        <v>54</v>
      </c>
      <c r="I7" s="51">
        <f ca="1">'Balance Situacion'!F41</f>
        <v>12.961459646703902</v>
      </c>
    </row>
    <row r="9" spans="1:21" ht="8.25" customHeight="1" x14ac:dyDescent="0.25">
      <c r="B9" s="52"/>
      <c r="C9" s="52"/>
      <c r="D9" s="67" t="s">
        <v>59</v>
      </c>
      <c r="E9" s="67"/>
      <c r="G9" s="52"/>
      <c r="H9" s="52"/>
      <c r="I9" s="58">
        <v>0.2</v>
      </c>
      <c r="J9" s="58"/>
      <c r="L9" s="52"/>
      <c r="M9" s="52"/>
      <c r="N9" s="58">
        <v>0.1</v>
      </c>
      <c r="O9" s="58"/>
      <c r="Q9" s="52"/>
      <c r="R9" s="52"/>
      <c r="S9" s="58">
        <v>0.2</v>
      </c>
      <c r="T9" s="58"/>
    </row>
    <row r="10" spans="1:21" ht="18.75" customHeight="1" x14ac:dyDescent="0.25">
      <c r="B10" s="59" t="s">
        <v>41</v>
      </c>
      <c r="C10" s="59"/>
      <c r="D10" s="67"/>
      <c r="E10" s="67"/>
      <c r="G10" s="59" t="str">
        <f>IF(D9="One Mark","Increase Purchases",IF(D9="","","Increase Purchases MUROEXE"))</f>
        <v>Increase Purchases MUROEXE</v>
      </c>
      <c r="H10" s="59" t="str">
        <f>IF(D9="Una Marca","Incremento Compras",IF(D9="","","Incremento Compras Marca A"))</f>
        <v>Incremento Compras Marca A</v>
      </c>
      <c r="I10" s="58"/>
      <c r="J10" s="58"/>
      <c r="K10" s="53"/>
      <c r="L10" s="59" t="str">
        <f>IF(D9="One Mark","",IF(D9="","","Increase Purchases UCON"))</f>
        <v>Increase Purchases UCON</v>
      </c>
      <c r="M10" s="59" t="str">
        <f>IF(I10="Una Marca","Incremento Compras",IF(I10="","","Incremento Compras Marca A"))</f>
        <v/>
      </c>
      <c r="N10" s="58"/>
      <c r="O10" s="58"/>
      <c r="Q10" s="59" t="str">
        <f>IF(D9="One Mark","",IF(D9="","","Increase Purchases KOMONO"))</f>
        <v>Increase Purchases KOMONO</v>
      </c>
      <c r="R10" s="59" t="str">
        <f>IF(N10="Una Marca","Incremento Compras",IF(N10="","","Incremento Compras Marca A"))</f>
        <v/>
      </c>
      <c r="S10" s="58"/>
      <c r="T10" s="58"/>
    </row>
    <row r="11" spans="1:21" ht="8.25" customHeight="1" x14ac:dyDescent="0.25">
      <c r="B11" s="52"/>
      <c r="C11" s="52"/>
      <c r="D11" s="67"/>
      <c r="E11" s="67"/>
      <c r="G11" s="52"/>
      <c r="H11" s="52"/>
      <c r="I11" s="58"/>
      <c r="J11" s="58"/>
      <c r="L11" s="52"/>
      <c r="M11" s="52" t="str">
        <f>IF(M10="","","Rebaja Precio Venta")</f>
        <v/>
      </c>
      <c r="N11" s="58"/>
      <c r="O11" s="58"/>
      <c r="Q11" s="52"/>
      <c r="R11" s="52" t="str">
        <f>IF(R10="","","Rebaja Precio Venta")</f>
        <v/>
      </c>
      <c r="S11" s="58"/>
      <c r="T11" s="58"/>
    </row>
    <row r="12" spans="1:21" ht="9.75" customHeight="1" x14ac:dyDescent="0.25"/>
    <row r="13" spans="1:21" ht="10.15" customHeight="1" x14ac:dyDescent="0.25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</row>
    <row r="14" spans="1:21" ht="10.15" customHeight="1" x14ac:dyDescent="0.25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</row>
    <row r="15" spans="1:21" ht="12.6" customHeight="1" x14ac:dyDescent="0.25"/>
    <row r="17" spans="17:19" x14ac:dyDescent="0.25">
      <c r="Q17" s="45"/>
      <c r="R17" s="45"/>
      <c r="S17" s="45"/>
    </row>
    <row r="18" spans="17:19" x14ac:dyDescent="0.25">
      <c r="Q18" s="45"/>
      <c r="R18" s="45"/>
      <c r="S18" s="45"/>
    </row>
    <row r="19" spans="17:19" x14ac:dyDescent="0.25">
      <c r="Q19" s="45"/>
      <c r="R19" s="45"/>
      <c r="S19" s="45"/>
    </row>
    <row r="20" spans="17:19" x14ac:dyDescent="0.25">
      <c r="Q20" s="45"/>
      <c r="R20" s="45"/>
      <c r="S20" s="45"/>
    </row>
    <row r="38" spans="2:20" ht="8.25" customHeight="1" x14ac:dyDescent="0.25"/>
    <row r="39" spans="2:20" ht="8.25" customHeight="1" x14ac:dyDescent="0.25"/>
    <row r="40" spans="2:20" ht="13.5" customHeight="1" x14ac:dyDescent="0.25"/>
    <row r="41" spans="2:20" ht="8.25" customHeight="1" x14ac:dyDescent="0.25">
      <c r="B41" s="63" t="s">
        <v>47</v>
      </c>
      <c r="C41" s="63"/>
      <c r="D41" s="63"/>
      <c r="E41" s="63"/>
      <c r="G41" s="52"/>
      <c r="H41" s="52"/>
      <c r="I41" s="58">
        <v>0.05</v>
      </c>
      <c r="J41" s="58"/>
      <c r="L41" s="52"/>
      <c r="M41" s="52"/>
      <c r="N41" s="58"/>
      <c r="O41" s="58"/>
      <c r="Q41" s="52"/>
      <c r="R41" s="52"/>
      <c r="S41" s="58"/>
      <c r="T41" s="58"/>
    </row>
    <row r="42" spans="2:20" ht="18.75" customHeight="1" x14ac:dyDescent="0.25">
      <c r="B42" s="63"/>
      <c r="C42" s="63"/>
      <c r="D42" s="63"/>
      <c r="E42" s="63"/>
      <c r="G42" s="59" t="str">
        <f>IF(D9="One Mark","Price reduction sale",IF(D9="","","Price reduction sale MUROEXE"))</f>
        <v>Price reduction sale MUROEXE</v>
      </c>
      <c r="H42" s="59" t="str">
        <f>IF(D41="Una Marca","Incremento Compras",IF(D41="","","Incremento Compras Marca A"))</f>
        <v/>
      </c>
      <c r="I42" s="58"/>
      <c r="J42" s="58"/>
      <c r="L42" s="59" t="str">
        <f>IF(D9="One Mark","",IF(D9="","","Price reduction sale UCON"))</f>
        <v>Price reduction sale UCON</v>
      </c>
      <c r="M42" s="59" t="str">
        <f>IF(I42="Una Marca","Incremento Compras",IF(I42="","","Incremento Compras Marca A"))</f>
        <v/>
      </c>
      <c r="N42" s="58"/>
      <c r="O42" s="58"/>
      <c r="Q42" s="59" t="str">
        <f>IF(D9="One Mark","",IF(D9="","","Price reduction sale KOMONO"))</f>
        <v>Price reduction sale KOMONO</v>
      </c>
      <c r="R42" s="59" t="str">
        <f>IF(N42="Una Marca","Incremento Compras",IF(N42="","","Incremento Compras Marca A"))</f>
        <v/>
      </c>
      <c r="S42" s="58"/>
      <c r="T42" s="58"/>
    </row>
    <row r="43" spans="2:20" ht="8.25" customHeight="1" x14ac:dyDescent="0.25">
      <c r="B43" s="63"/>
      <c r="C43" s="63"/>
      <c r="D43" s="63"/>
      <c r="E43" s="63"/>
      <c r="G43" s="52"/>
      <c r="H43" s="52"/>
      <c r="I43" s="58"/>
      <c r="J43" s="58"/>
      <c r="L43" s="52"/>
      <c r="M43" s="52" t="str">
        <f>IF(M42="","","Rebaja Precio Venta")</f>
        <v/>
      </c>
      <c r="N43" s="58"/>
      <c r="O43" s="58"/>
      <c r="Q43" s="52"/>
      <c r="R43" s="52" t="str">
        <f>IF(R42="","","Rebaja Precio Venta")</f>
        <v/>
      </c>
      <c r="S43" s="58"/>
      <c r="T43" s="58"/>
    </row>
    <row r="45" spans="2:20" ht="8.25" customHeight="1" x14ac:dyDescent="0.25">
      <c r="B45" s="52"/>
      <c r="C45" s="52"/>
      <c r="D45" s="64">
        <v>0</v>
      </c>
      <c r="E45" s="65"/>
      <c r="G45" s="52"/>
      <c r="H45" s="52"/>
      <c r="I45" s="66">
        <v>100000</v>
      </c>
      <c r="J45" s="66"/>
      <c r="L45" s="52"/>
      <c r="M45" s="52"/>
      <c r="N45" s="66">
        <v>50000</v>
      </c>
      <c r="O45" s="66"/>
      <c r="Q45" s="52"/>
      <c r="R45" s="52"/>
      <c r="S45" s="60"/>
      <c r="T45" s="60"/>
    </row>
    <row r="46" spans="2:20" ht="18.75" customHeight="1" x14ac:dyDescent="0.25">
      <c r="B46" s="59" t="s">
        <v>57</v>
      </c>
      <c r="C46" s="59"/>
      <c r="D46" s="65"/>
      <c r="E46" s="65"/>
      <c r="G46" s="59" t="s">
        <v>44</v>
      </c>
      <c r="H46" s="59"/>
      <c r="I46" s="66"/>
      <c r="J46" s="66"/>
      <c r="L46" s="59" t="s">
        <v>45</v>
      </c>
      <c r="M46" s="59"/>
      <c r="N46" s="66"/>
      <c r="O46" s="66"/>
      <c r="Q46" s="59" t="s">
        <v>46</v>
      </c>
      <c r="R46" s="59"/>
      <c r="S46" s="60"/>
      <c r="T46" s="60"/>
    </row>
    <row r="47" spans="2:20" ht="8.25" customHeight="1" x14ac:dyDescent="0.25">
      <c r="B47" s="52"/>
      <c r="C47" s="52"/>
      <c r="D47" s="65"/>
      <c r="E47" s="65"/>
      <c r="G47" s="52"/>
      <c r="H47" s="52"/>
      <c r="I47" s="66"/>
      <c r="J47" s="66"/>
      <c r="L47" s="52"/>
      <c r="M47" s="52" t="str">
        <f>IF(M46="","","Rebaja Precio Venta")</f>
        <v/>
      </c>
      <c r="N47" s="66"/>
      <c r="O47" s="66"/>
      <c r="Q47" s="52"/>
      <c r="R47" s="52" t="str">
        <f>IF(R46="","","Rebaja Precio Venta")</f>
        <v/>
      </c>
      <c r="S47" s="60"/>
      <c r="T47" s="60"/>
    </row>
    <row r="48" spans="2:20" ht="9.75" customHeight="1" x14ac:dyDescent="0.25"/>
    <row r="49" spans="1:21" ht="9.75" customHeight="1" x14ac:dyDescent="0.25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</row>
    <row r="50" spans="1:21" ht="7.5" customHeight="1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</row>
  </sheetData>
  <mergeCells count="24">
    <mergeCell ref="H1:I1"/>
    <mergeCell ref="B41:E43"/>
    <mergeCell ref="D45:E47"/>
    <mergeCell ref="I45:J47"/>
    <mergeCell ref="N45:O47"/>
    <mergeCell ref="I41:J43"/>
    <mergeCell ref="N41:O43"/>
    <mergeCell ref="D9:E11"/>
    <mergeCell ref="B10:C10"/>
    <mergeCell ref="S45:T47"/>
    <mergeCell ref="B46:C46"/>
    <mergeCell ref="G46:H46"/>
    <mergeCell ref="L46:M46"/>
    <mergeCell ref="Q46:R46"/>
    <mergeCell ref="S41:T43"/>
    <mergeCell ref="G42:H42"/>
    <mergeCell ref="L42:M42"/>
    <mergeCell ref="Q42:R42"/>
    <mergeCell ref="S9:T11"/>
    <mergeCell ref="Q10:R10"/>
    <mergeCell ref="G10:H10"/>
    <mergeCell ref="L10:M10"/>
    <mergeCell ref="I9:J11"/>
    <mergeCell ref="N9:O11"/>
  </mergeCells>
  <dataValidations count="7">
    <dataValidation type="list" allowBlank="1" showInputMessage="1" showErrorMessage="1" sqref="N45:O47" xr:uid="{00000000-0002-0000-0000-000000000000}">
      <formula1>"0,10000,25000,50000"</formula1>
    </dataValidation>
    <dataValidation type="list" allowBlank="1" showInputMessage="1" showErrorMessage="1" sqref="S45:T47" xr:uid="{00000000-0002-0000-0000-000001000000}">
      <formula1>"25%,50%"</formula1>
    </dataValidation>
    <dataValidation type="list" allowBlank="1" showInputMessage="1" showErrorMessage="1" sqref="I45:J47" xr:uid="{00000000-0002-0000-0000-000002000000}">
      <formula1>"50000,100000"</formula1>
    </dataValidation>
    <dataValidation type="list" allowBlank="1" showInputMessage="1" showErrorMessage="1" sqref="D45:E47" xr:uid="{00000000-0002-0000-0000-000003000000}">
      <formula1>"0%,5%"</formula1>
    </dataValidation>
    <dataValidation type="list" allowBlank="1" showInputMessage="1" showErrorMessage="1" sqref="D9:E11" xr:uid="{00000000-0002-0000-0000-000004000000}">
      <formula1>"One Mark,Three Marks"</formula1>
    </dataValidation>
    <dataValidation type="list" allowBlank="1" showInputMessage="1" showErrorMessage="1" sqref="M2" xr:uid="{00000000-0002-0000-0000-000005000000}">
      <formula1>",Bad Year,Good Year"</formula1>
    </dataValidation>
    <dataValidation type="list" allowBlank="1" showInputMessage="1" showErrorMessage="1" sqref="I9:J11 N9:O11 S9:T11 I41:J43 N41:O43 S41:T43" xr:uid="{14A88925-DA61-4249-A2B0-5770E759D048}">
      <formula1>"0%,5%,10%,20%"</formula1>
    </dataValidation>
  </dataValidations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N42"/>
  <sheetViews>
    <sheetView showGridLines="0" zoomScale="80" zoomScaleNormal="80" workbookViewId="0">
      <selection activeCell="D17" sqref="D17"/>
    </sheetView>
  </sheetViews>
  <sheetFormatPr baseColWidth="10" defaultColWidth="10.625" defaultRowHeight="15.75" x14ac:dyDescent="0.25"/>
  <cols>
    <col min="1" max="1" width="40.625" style="7" customWidth="1"/>
    <col min="2" max="2" width="9.75" style="8" bestFit="1" customWidth="1"/>
    <col min="3" max="3" width="8.625" style="8" bestFit="1" customWidth="1"/>
    <col min="4" max="4" width="11.5" style="6" bestFit="1" customWidth="1"/>
    <col min="5" max="5" width="10.625" style="6" customWidth="1"/>
    <col min="6" max="6" width="8.25" style="7" bestFit="1" customWidth="1"/>
    <col min="7" max="7" width="40.625" style="7" customWidth="1"/>
    <col min="8" max="8" width="11.25" style="6" bestFit="1" customWidth="1"/>
    <col min="9" max="9" width="7.75" style="8" customWidth="1"/>
    <col min="10" max="10" width="7.75" style="6" customWidth="1"/>
    <col min="13" max="16384" width="10.625" style="7"/>
  </cols>
  <sheetData>
    <row r="1" spans="1:14" x14ac:dyDescent="0.25">
      <c r="A1" s="1" t="s">
        <v>0</v>
      </c>
      <c r="B1" s="3"/>
      <c r="C1" s="3"/>
      <c r="D1" s="2"/>
      <c r="E1" s="2"/>
      <c r="F1" s="4"/>
      <c r="G1" s="4"/>
      <c r="I1" s="3"/>
      <c r="J1" s="5"/>
    </row>
    <row r="2" spans="1:14" x14ac:dyDescent="0.25">
      <c r="H2" s="9"/>
      <c r="I2" s="9"/>
    </row>
    <row r="3" spans="1:14" x14ac:dyDescent="0.25">
      <c r="A3" s="10"/>
      <c r="B3" s="3"/>
      <c r="C3" s="3"/>
      <c r="D3" s="11"/>
      <c r="E3" s="11"/>
      <c r="F3" s="4"/>
      <c r="G3" s="4"/>
      <c r="I3" s="3"/>
      <c r="J3" s="5"/>
    </row>
    <row r="4" spans="1:14" x14ac:dyDescent="0.25">
      <c r="A4" s="10" t="s">
        <v>25</v>
      </c>
      <c r="B4" s="3"/>
      <c r="C4" s="3"/>
      <c r="D4" s="11"/>
      <c r="E4" s="11"/>
      <c r="F4" s="4"/>
      <c r="G4" s="4"/>
      <c r="I4" s="9"/>
      <c r="J4" s="5"/>
    </row>
    <row r="5" spans="1:14" x14ac:dyDescent="0.25">
      <c r="A5" s="10"/>
      <c r="B5" s="3"/>
      <c r="C5" s="3"/>
      <c r="D5" s="11"/>
      <c r="E5" s="11"/>
      <c r="F5" s="4"/>
      <c r="G5" s="4"/>
      <c r="I5" s="3"/>
      <c r="J5" s="5"/>
    </row>
    <row r="6" spans="1:14" x14ac:dyDescent="0.25">
      <c r="A6" s="4"/>
      <c r="B6" s="3"/>
      <c r="C6" s="3"/>
      <c r="D6" s="5"/>
      <c r="E6" s="5"/>
      <c r="F6" s="4"/>
      <c r="G6" s="4"/>
      <c r="I6" s="3"/>
      <c r="J6" s="5"/>
      <c r="M6" s="12"/>
      <c r="N6" s="12"/>
    </row>
    <row r="7" spans="1:14" s="16" customFormat="1" ht="15" x14ac:dyDescent="0.25">
      <c r="A7" s="13" t="s">
        <v>1</v>
      </c>
      <c r="B7" s="14">
        <v>2016</v>
      </c>
      <c r="C7" s="14">
        <v>2017</v>
      </c>
      <c r="D7" s="14">
        <v>2018</v>
      </c>
      <c r="E7" s="40"/>
      <c r="F7" s="15"/>
      <c r="G7" s="13" t="s">
        <v>2</v>
      </c>
      <c r="H7" s="14">
        <v>2016</v>
      </c>
      <c r="I7" s="14">
        <v>2017</v>
      </c>
      <c r="J7" s="14">
        <v>2018</v>
      </c>
    </row>
    <row r="9" spans="1:14" x14ac:dyDescent="0.25">
      <c r="A9" s="10" t="s">
        <v>3</v>
      </c>
      <c r="B9" s="17">
        <f>SUM(B10:B12)</f>
        <v>0</v>
      </c>
      <c r="C9" s="37">
        <f>SUM(C10:C12)</f>
        <v>21617.03</v>
      </c>
      <c r="D9" s="37">
        <f>SUM(D10:D12)</f>
        <v>65111</v>
      </c>
      <c r="E9" s="17"/>
      <c r="F9" s="4"/>
      <c r="G9" s="10" t="s">
        <v>4</v>
      </c>
      <c r="H9" s="17">
        <f>SUM(H10:H12)</f>
        <v>108650.66</v>
      </c>
      <c r="I9" s="17">
        <f>SUM(I10:I12)</f>
        <v>151425</v>
      </c>
      <c r="J9" s="17">
        <f>SUM(J10:J12)</f>
        <v>0</v>
      </c>
    </row>
    <row r="10" spans="1:14" x14ac:dyDescent="0.25">
      <c r="A10" s="10" t="s">
        <v>30</v>
      </c>
      <c r="B10" s="19"/>
      <c r="C10" s="18">
        <v>15111</v>
      </c>
      <c r="D10" s="17">
        <f>IF('Simulación Escenarios'!N45="","",'Balance Situacion'!C10+'Simulación Escenarios'!N45)</f>
        <v>65111</v>
      </c>
      <c r="E10" s="17"/>
      <c r="F10" s="30">
        <f>D10/C10-1</f>
        <v>3.3088478591754349</v>
      </c>
      <c r="G10" s="10" t="s">
        <v>5</v>
      </c>
      <c r="H10" s="20">
        <v>3000</v>
      </c>
      <c r="I10" s="20">
        <v>3000</v>
      </c>
      <c r="J10" s="17"/>
    </row>
    <row r="11" spans="1:14" x14ac:dyDescent="0.25">
      <c r="A11" s="10" t="s">
        <v>31</v>
      </c>
      <c r="B11" s="17"/>
      <c r="C11" s="20">
        <v>3746.03</v>
      </c>
      <c r="D11" s="17"/>
      <c r="E11" s="17"/>
      <c r="F11" s="4"/>
      <c r="G11" s="10" t="s">
        <v>6</v>
      </c>
      <c r="H11" s="20">
        <v>58143.9</v>
      </c>
      <c r="I11" s="20">
        <v>105649.9</v>
      </c>
      <c r="J11" s="17"/>
    </row>
    <row r="12" spans="1:14" x14ac:dyDescent="0.25">
      <c r="A12" s="10" t="s">
        <v>32</v>
      </c>
      <c r="B12" s="17"/>
      <c r="C12" s="20">
        <v>2760</v>
      </c>
      <c r="D12" s="17"/>
      <c r="E12" s="17"/>
      <c r="F12" s="4"/>
      <c r="G12" s="10" t="s">
        <v>7</v>
      </c>
      <c r="H12" s="20">
        <v>47506.76</v>
      </c>
      <c r="I12" s="20">
        <v>42775.1</v>
      </c>
      <c r="J12" s="17"/>
    </row>
    <row r="13" spans="1:14" x14ac:dyDescent="0.25">
      <c r="A13" s="4"/>
      <c r="B13" s="20"/>
      <c r="C13" s="20"/>
      <c r="D13" s="20"/>
      <c r="E13" s="20"/>
      <c r="F13" s="4"/>
      <c r="G13" s="10"/>
      <c r="H13" s="17"/>
      <c r="I13" s="17"/>
      <c r="J13" s="17"/>
    </row>
    <row r="14" spans="1:14" x14ac:dyDescent="0.25">
      <c r="A14" s="10" t="s">
        <v>9</v>
      </c>
      <c r="B14" s="17">
        <f>SUM(B15:B18)</f>
        <v>235602.02000000002</v>
      </c>
      <c r="C14" s="17">
        <f>SUM(C15:C18)</f>
        <v>750940.65</v>
      </c>
      <c r="D14" s="17">
        <f ca="1">SUM(D15:D18)</f>
        <v>667710.76430000004</v>
      </c>
      <c r="E14" s="17"/>
      <c r="F14" s="4"/>
      <c r="G14" s="10" t="s">
        <v>8</v>
      </c>
      <c r="H14" s="17">
        <f>H15</f>
        <v>3500</v>
      </c>
      <c r="I14" s="17">
        <f>I15</f>
        <v>78500</v>
      </c>
      <c r="J14" s="17">
        <f>J15</f>
        <v>0</v>
      </c>
    </row>
    <row r="15" spans="1:14" x14ac:dyDescent="0.25">
      <c r="A15" s="10" t="s">
        <v>11</v>
      </c>
      <c r="B15" s="20">
        <v>141500</v>
      </c>
      <c r="C15" s="20">
        <v>102400</v>
      </c>
      <c r="D15" s="17"/>
      <c r="E15" s="17"/>
      <c r="F15" s="4"/>
      <c r="G15" s="4" t="s">
        <v>22</v>
      </c>
      <c r="H15" s="20">
        <v>3500</v>
      </c>
      <c r="I15" s="20">
        <v>78500</v>
      </c>
      <c r="J15" s="20"/>
    </row>
    <row r="16" spans="1:14" x14ac:dyDescent="0.25">
      <c r="A16" s="10" t="s">
        <v>12</v>
      </c>
      <c r="B16" s="17"/>
      <c r="C16" s="17"/>
      <c r="D16" s="17"/>
      <c r="E16" s="17"/>
      <c r="F16" s="4"/>
      <c r="H16" s="18"/>
      <c r="I16" s="18"/>
      <c r="J16" s="18"/>
    </row>
    <row r="17" spans="1:11" x14ac:dyDescent="0.25">
      <c r="A17" s="4" t="s">
        <v>23</v>
      </c>
      <c r="B17" s="20">
        <v>83483.33</v>
      </c>
      <c r="C17" s="20">
        <v>540072.79</v>
      </c>
      <c r="D17" s="35">
        <f ca="1">IF('Simulación Escenarios'!I9="","",((RANDBETWEEN(10,20)/100)*C17)+C17)</f>
        <v>599480.79690000007</v>
      </c>
      <c r="E17" s="41"/>
      <c r="F17" s="30">
        <f ca="1">D17/C17-1</f>
        <v>0.1100000000000001</v>
      </c>
      <c r="G17" s="29" t="s">
        <v>35</v>
      </c>
      <c r="H17" s="18"/>
      <c r="I17" s="18"/>
      <c r="J17" s="18"/>
    </row>
    <row r="18" spans="1:11" x14ac:dyDescent="0.25">
      <c r="A18" s="4" t="s">
        <v>24</v>
      </c>
      <c r="B18" s="20">
        <v>10618.69</v>
      </c>
      <c r="C18" s="20">
        <v>108467.86</v>
      </c>
      <c r="D18" s="35">
        <f ca="1">(IF('Simulación Escenarios'!I9="","",(((RANDBETWEEN(5,15)/100)*C18)+C18)))-(IF('Simulación Escenarios'!N45="","",'Simulación Escenarios'!N45))-('Simulación Escenarios'!S45*'Balance Situacion'!C42)</f>
        <v>68229.967399999994</v>
      </c>
      <c r="E18" s="41"/>
      <c r="F18" s="30">
        <f ca="1">D18/C18-1</f>
        <v>-0.37096604100053243</v>
      </c>
      <c r="G18" s="29" t="s">
        <v>39</v>
      </c>
      <c r="H18" s="18"/>
      <c r="I18" s="18"/>
      <c r="J18" s="18"/>
    </row>
    <row r="19" spans="1:11" x14ac:dyDescent="0.25">
      <c r="B19" s="18"/>
      <c r="C19" s="18"/>
      <c r="D19" s="18"/>
      <c r="E19" s="18"/>
      <c r="F19" s="4"/>
      <c r="G19" s="10" t="s">
        <v>10</v>
      </c>
      <c r="H19" s="17">
        <f>SUM(H20:H22)</f>
        <v>123451.81999999999</v>
      </c>
      <c r="I19" s="17">
        <f>SUM(I20:I22)</f>
        <v>542633.14</v>
      </c>
      <c r="J19" s="17">
        <f>SUM(J20:J22)</f>
        <v>656136.37300000002</v>
      </c>
    </row>
    <row r="20" spans="1:11" x14ac:dyDescent="0.25">
      <c r="B20" s="18"/>
      <c r="C20" s="18"/>
      <c r="D20" s="18"/>
      <c r="E20" s="18"/>
      <c r="F20" s="4"/>
      <c r="G20" s="39" t="s">
        <v>49</v>
      </c>
      <c r="H20" s="20">
        <v>47929</v>
      </c>
      <c r="I20" s="20">
        <v>123732.22</v>
      </c>
      <c r="J20" s="20">
        <f>IF('Simulación Escenarios'!I9="","",('Balance Situacion'!I20*0.9))+'Simulación Escenarios'!I45</f>
        <v>211358.99800000002</v>
      </c>
      <c r="K20" s="29" t="s">
        <v>38</v>
      </c>
    </row>
    <row r="21" spans="1:11" x14ac:dyDescent="0.25">
      <c r="A21" s="10"/>
      <c r="B21" s="17"/>
      <c r="C21" s="17"/>
      <c r="D21" s="17"/>
      <c r="E21" s="17"/>
      <c r="F21" s="4"/>
      <c r="G21" s="39" t="s">
        <v>50</v>
      </c>
      <c r="H21" s="20">
        <v>71927.179999999993</v>
      </c>
      <c r="I21" s="20">
        <v>365522.13</v>
      </c>
      <c r="J21" s="20">
        <f>IF('Simulación Escenarios'!I9="","",('Balance Situacion'!I21+('Balance Situacion'!I21*'Simulación Escenarios'!I9/2)))</f>
        <v>402074.34299999999</v>
      </c>
      <c r="K21" s="29" t="s">
        <v>37</v>
      </c>
    </row>
    <row r="22" spans="1:11" x14ac:dyDescent="0.25">
      <c r="B22" s="18"/>
      <c r="C22" s="18"/>
      <c r="D22" s="18"/>
      <c r="E22" s="18"/>
      <c r="F22" s="4"/>
      <c r="G22" s="39" t="s">
        <v>48</v>
      </c>
      <c r="H22" s="20">
        <v>3595.64</v>
      </c>
      <c r="I22" s="20">
        <v>53378.79</v>
      </c>
      <c r="J22" s="20">
        <f>IF('Simulación Escenarios'!I9="","",('Balance Situacion'!I22*0.8))</f>
        <v>42703.032000000007</v>
      </c>
      <c r="K22" s="29" t="s">
        <v>36</v>
      </c>
    </row>
    <row r="23" spans="1:11" x14ac:dyDescent="0.25">
      <c r="B23" s="18"/>
      <c r="C23" s="18"/>
      <c r="D23" s="18"/>
      <c r="E23" s="18"/>
      <c r="F23" s="4"/>
      <c r="H23" s="18"/>
      <c r="I23" s="18"/>
      <c r="J23" s="18"/>
    </row>
    <row r="24" spans="1:11" x14ac:dyDescent="0.25">
      <c r="A24" s="10" t="s">
        <v>13</v>
      </c>
      <c r="B24" s="17">
        <f>B14+B9</f>
        <v>235602.02000000002</v>
      </c>
      <c r="C24" s="17">
        <f>C14+C9</f>
        <v>772557.68</v>
      </c>
      <c r="D24" s="17">
        <f ca="1">D14+D9</f>
        <v>732821.76430000004</v>
      </c>
      <c r="E24" s="17"/>
      <c r="G24" s="10" t="s">
        <v>14</v>
      </c>
      <c r="H24" s="17">
        <f>H19+H14+H9</f>
        <v>235602.47999999998</v>
      </c>
      <c r="I24" s="17">
        <f>I19+I14+I9</f>
        <v>772558.14</v>
      </c>
      <c r="J24" s="17">
        <f>J19+J14+J9</f>
        <v>656136.37300000002</v>
      </c>
    </row>
    <row r="25" spans="1:11" x14ac:dyDescent="0.25">
      <c r="B25" s="18"/>
      <c r="C25" s="18"/>
      <c r="D25" s="18"/>
      <c r="E25" s="18"/>
      <c r="I25" s="6"/>
    </row>
    <row r="26" spans="1:11" s="23" customFormat="1" ht="15" x14ac:dyDescent="0.25">
      <c r="A26" s="21" t="s">
        <v>15</v>
      </c>
      <c r="B26" s="22">
        <v>2016</v>
      </c>
      <c r="C26" s="22">
        <v>2017</v>
      </c>
      <c r="D26" s="14">
        <v>2018</v>
      </c>
      <c r="H26" s="24"/>
      <c r="I26" s="25"/>
      <c r="J26" s="24"/>
    </row>
    <row r="27" spans="1:11" x14ac:dyDescent="0.25">
      <c r="B27" s="18"/>
      <c r="C27" s="18"/>
      <c r="D27" s="18"/>
      <c r="E27" s="55"/>
      <c r="F27" s="30"/>
    </row>
    <row r="28" spans="1:11" x14ac:dyDescent="0.25">
      <c r="A28" s="26" t="s">
        <v>16</v>
      </c>
      <c r="B28" s="32">
        <v>337139.62</v>
      </c>
      <c r="C28" s="32">
        <v>934178.40999999992</v>
      </c>
      <c r="D28" s="32">
        <f ca="1">D29+(D29*('Simulación Escenarios'!I41*2))</f>
        <v>1901698.999475</v>
      </c>
      <c r="E28" s="56"/>
      <c r="F28" s="57"/>
    </row>
    <row r="29" spans="1:11" x14ac:dyDescent="0.25">
      <c r="A29" s="26" t="s">
        <v>17</v>
      </c>
      <c r="B29" s="19">
        <v>337139.62</v>
      </c>
      <c r="C29" s="19">
        <v>934178.40999999992</v>
      </c>
      <c r="D29" s="36">
        <f ca="1">(IF('Simulación Escenarios'!D9="One Mark",C29*(1+('Simulación Escenarios'!I9*2)),C30+((C30*'Simulación Escenarios'!I9)*3)*(RANDBETWEEN(8,10)/10)+((C30*'Simulación Escenarios'!N9)*2.5)*(RANDBETWEEN(9,10)/10)+((C30*'Simulación Escenarios'!S9)*3.5)*(RANDBETWEEN(5,10)/10)))+(C29*(AVERAGE('Simulación Escenarios'!I41,'Simulación Escenarios'!N41,'Simulación Escenarios'!S41)/2))+E29</f>
        <v>1728817.2722499999</v>
      </c>
      <c r="E29" s="41">
        <f>IF('Simulación Escenarios'!M2="",0,IF('Simulación Escenarios'!M2="Bad Year",-'Balance Situacion'!C29*0.2,'Balance Situacion'!C29*0.2))</f>
        <v>186835.682</v>
      </c>
      <c r="F29" s="30">
        <f ca="1">D29/C29-1</f>
        <v>0.85062858844061706</v>
      </c>
      <c r="G29" s="29" t="s">
        <v>40</v>
      </c>
      <c r="H29" s="27"/>
      <c r="I29" s="38"/>
    </row>
    <row r="30" spans="1:11" x14ac:dyDescent="0.25">
      <c r="A30" s="26" t="s">
        <v>27</v>
      </c>
      <c r="B30" s="18">
        <v>207199.31</v>
      </c>
      <c r="C30" s="18">
        <v>706338.2</v>
      </c>
      <c r="D30" s="33">
        <f>IF('Simulación Escenarios'!D9="One Mark",((C30*(1+'Simulación Escenarios'!I9))),(C30*(1+(('Simulación Escenarios'!I9+'Simulación Escenarios'!N9+'Simulación Escenarios'!S9)/3))))</f>
        <v>824061.23333333328</v>
      </c>
      <c r="E30" s="19"/>
      <c r="F30" s="30">
        <f>D30/C30-1</f>
        <v>0.16666666666666674</v>
      </c>
      <c r="H30" s="18"/>
    </row>
    <row r="31" spans="1:11" x14ac:dyDescent="0.25">
      <c r="A31" s="26" t="s">
        <v>42</v>
      </c>
      <c r="B31" s="18">
        <v>68700.58</v>
      </c>
      <c r="C31" s="18">
        <v>81844.539999999994</v>
      </c>
      <c r="D31" s="36">
        <f ca="1">IF('Simulación Escenarios'!I9="","",C31*(1+(F29/4)))</f>
        <v>99249.366382942913</v>
      </c>
      <c r="E31" s="19"/>
      <c r="F31" s="30">
        <f ca="1">D31/C31-1</f>
        <v>0.21265714711015438</v>
      </c>
      <c r="G31" s="28" t="s">
        <v>33</v>
      </c>
    </row>
    <row r="32" spans="1:11" x14ac:dyDescent="0.25">
      <c r="A32" s="26" t="s">
        <v>43</v>
      </c>
      <c r="B32" s="18">
        <v>49978.87</v>
      </c>
      <c r="C32" s="18">
        <v>101534.85</v>
      </c>
      <c r="D32" s="36">
        <f>IF('Simulación Escenarios'!I9="","",C32*(1+('Simulación Escenarios'!I9/3)))</f>
        <v>108303.84000000001</v>
      </c>
      <c r="E32" s="19"/>
      <c r="F32" s="30">
        <f>D32/C32-1</f>
        <v>6.6666666666666652E-2</v>
      </c>
      <c r="G32" s="28" t="s">
        <v>34</v>
      </c>
    </row>
    <row r="33" spans="1:8" x14ac:dyDescent="0.25">
      <c r="A33" s="26" t="s">
        <v>28</v>
      </c>
      <c r="B33" s="18">
        <v>52591.78</v>
      </c>
      <c r="C33" s="19">
        <v>0</v>
      </c>
      <c r="D33" s="19">
        <f>IF('Simulación Escenarios'!D9="Three Marks",100000,0)</f>
        <v>100000</v>
      </c>
      <c r="E33" s="19"/>
    </row>
    <row r="34" spans="1:8" x14ac:dyDescent="0.25">
      <c r="A34" s="34" t="s">
        <v>26</v>
      </c>
      <c r="B34" s="19">
        <f>SUM(B30:B33)</f>
        <v>378470.54000000004</v>
      </c>
      <c r="C34" s="19">
        <f>SUM(C30:C33)</f>
        <v>889717.59</v>
      </c>
      <c r="D34" s="19">
        <f ca="1">IF('Simulación Escenarios'!I9="","",SUM(D30:D33))</f>
        <v>1131614.4397162762</v>
      </c>
      <c r="E34" s="41">
        <f>'Simulación Escenarios'!I9*2</f>
        <v>0.4</v>
      </c>
      <c r="F34" s="57"/>
    </row>
    <row r="35" spans="1:8" x14ac:dyDescent="0.25">
      <c r="A35" s="26" t="s">
        <v>18</v>
      </c>
      <c r="B35" s="19">
        <f>B29-B30-B31-B32-B33</f>
        <v>-41330.920000000006</v>
      </c>
      <c r="C35" s="19">
        <f>C29-C30-C31-C32-C33</f>
        <v>44460.819999999978</v>
      </c>
      <c r="D35" s="19">
        <f ca="1">D29-D30-D31-D32-D33</f>
        <v>597202.83253372379</v>
      </c>
      <c r="E35" s="19"/>
      <c r="H35" s="8"/>
    </row>
    <row r="36" spans="1:8" x14ac:dyDescent="0.25">
      <c r="A36" s="26" t="s">
        <v>19</v>
      </c>
      <c r="B36" s="18">
        <v>-510.29</v>
      </c>
      <c r="C36" s="18">
        <v>-1685.72</v>
      </c>
      <c r="D36" s="19"/>
      <c r="E36" s="19"/>
    </row>
    <row r="37" spans="1:8" x14ac:dyDescent="0.25">
      <c r="A37" s="26"/>
      <c r="B37" s="19"/>
      <c r="C37" s="19"/>
      <c r="D37" s="19"/>
      <c r="E37" s="19"/>
      <c r="G37" s="8">
        <v>1000</v>
      </c>
    </row>
    <row r="38" spans="1:8" x14ac:dyDescent="0.25">
      <c r="A38" s="26" t="s">
        <v>20</v>
      </c>
      <c r="B38" s="19">
        <f>B35+B36</f>
        <v>-41841.210000000006</v>
      </c>
      <c r="C38" s="19">
        <f>C35+C36</f>
        <v>42775.099999999977</v>
      </c>
      <c r="D38" s="19">
        <f ca="1">D35+D36</f>
        <v>597202.83253372379</v>
      </c>
      <c r="E38" s="19"/>
      <c r="G38" s="30">
        <v>0.2</v>
      </c>
    </row>
    <row r="39" spans="1:8" x14ac:dyDescent="0.25">
      <c r="A39" s="26" t="s">
        <v>21</v>
      </c>
      <c r="B39" s="19">
        <v>-15835.59</v>
      </c>
      <c r="C39" s="19">
        <v>0</v>
      </c>
      <c r="D39" s="19"/>
      <c r="E39" s="19"/>
      <c r="G39" s="31">
        <f>G37*(G38*2)</f>
        <v>400</v>
      </c>
    </row>
    <row r="40" spans="1:8" x14ac:dyDescent="0.25">
      <c r="A40" s="26"/>
      <c r="B40" s="19"/>
      <c r="C40" s="19"/>
      <c r="D40" s="19"/>
      <c r="E40" s="19"/>
    </row>
    <row r="41" spans="1:8" x14ac:dyDescent="0.25">
      <c r="A41" s="26" t="s">
        <v>29</v>
      </c>
      <c r="B41" s="19">
        <f>B38+B39</f>
        <v>-57676.800000000003</v>
      </c>
      <c r="C41" s="19">
        <f>C38+C39</f>
        <v>42775.099999999977</v>
      </c>
      <c r="D41" s="19">
        <f ca="1">D38+D39</f>
        <v>597202.83253372379</v>
      </c>
      <c r="E41" s="19"/>
      <c r="F41" s="30">
        <f ca="1">D41/C41-1</f>
        <v>12.961459646703902</v>
      </c>
    </row>
    <row r="42" spans="1:8" x14ac:dyDescent="0.25">
      <c r="B42" s="32">
        <f>B41</f>
        <v>-57676.800000000003</v>
      </c>
      <c r="C42" s="32">
        <f>C41</f>
        <v>42775.099999999977</v>
      </c>
      <c r="D42" s="32">
        <f ca="1">D41-(D41*('Simulación Escenarios'!I41+'Simulación Escenarios'!N41+'Simulación Escenarios'!S41))-(C17*'Simulación Escenarios'!D45)</f>
        <v>567342.69090703758</v>
      </c>
      <c r="E42" s="19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Simulación Escenarios</vt:lpstr>
      <vt:lpstr>Balance Situacion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Miguel Antunez Ramos</cp:lastModifiedBy>
  <cp:lastPrinted>2018-02-16T15:36:21Z</cp:lastPrinted>
  <dcterms:created xsi:type="dcterms:W3CDTF">2018-02-09T17:34:36Z</dcterms:created>
  <dcterms:modified xsi:type="dcterms:W3CDTF">2019-12-23T19:49:04Z</dcterms:modified>
</cp:coreProperties>
</file>