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Master en Diseño de Dashboard/3ª Sesion/"/>
    </mc:Choice>
  </mc:AlternateContent>
  <xr:revisionPtr revIDLastSave="2" documentId="8_{15C93440-0AA4-462E-ADFF-56974EB5150D}" xr6:coauthVersionLast="45" xr6:coauthVersionMax="45" xr10:uidLastSave="{EE99345C-DF3F-4AC8-85C9-2024616A02FC}"/>
  <bookViews>
    <workbookView xWindow="2730" yWindow="15" windowWidth="28830" windowHeight="16185" tabRatio="900" xr2:uid="{92CC657A-38E7-4A41-B255-05C7AC6466A0}"/>
  </bookViews>
  <sheets>
    <sheet name="Análisis Datos" sheetId="9" r:id="rId1"/>
    <sheet name="Cta Resultados" sheetId="6" r:id="rId2"/>
    <sheet name="Facturación" sheetId="12" r:id="rId3"/>
    <sheet name="Gastos" sheetId="1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B3" i="6" l="1"/>
  <c r="AA3" i="6"/>
  <c r="Z3" i="6"/>
  <c r="Y3" i="6"/>
  <c r="X3" i="6"/>
  <c r="W3" i="6"/>
  <c r="V3" i="6"/>
  <c r="U3" i="6"/>
  <c r="T3" i="6"/>
  <c r="S3" i="6"/>
  <c r="R3" i="6"/>
  <c r="Q3" i="6"/>
  <c r="AC4" i="6"/>
  <c r="AR4" i="6"/>
  <c r="AO3" i="6"/>
  <c r="AM3" i="6"/>
  <c r="AK3" i="6"/>
  <c r="AJ3" i="6"/>
  <c r="AG3" i="6"/>
  <c r="AE4" i="6"/>
  <c r="P4" i="6"/>
  <c r="N4" i="6"/>
  <c r="M3" i="6"/>
  <c r="AQ3" i="6"/>
  <c r="L3" i="6"/>
  <c r="AP3" i="6"/>
  <c r="K3" i="6"/>
  <c r="J3" i="6"/>
  <c r="AN3" i="6"/>
  <c r="I3" i="6"/>
  <c r="H3" i="6"/>
  <c r="AL3" i="6"/>
  <c r="G3" i="6"/>
  <c r="F3" i="6"/>
  <c r="E3" i="6"/>
  <c r="AI3" i="6"/>
  <c r="D3" i="6"/>
  <c r="AH3" i="6"/>
  <c r="C3" i="6"/>
  <c r="B3" i="6"/>
  <c r="AF3" i="6"/>
  <c r="AM19" i="6"/>
  <c r="R19" i="6"/>
  <c r="S19" i="6"/>
  <c r="T19" i="6"/>
  <c r="U19" i="6"/>
  <c r="V19" i="6"/>
  <c r="W19" i="6"/>
  <c r="X19" i="6"/>
  <c r="Y19" i="6"/>
  <c r="Z19" i="6"/>
  <c r="AA19" i="6"/>
  <c r="AB19" i="6"/>
  <c r="Q19" i="6"/>
  <c r="C19" i="6"/>
  <c r="AG19" i="6"/>
  <c r="D19" i="6"/>
  <c r="AH19" i="6"/>
  <c r="E19" i="6"/>
  <c r="AI19" i="6"/>
  <c r="F19" i="6"/>
  <c r="AJ19" i="6"/>
  <c r="G19" i="6"/>
  <c r="AK19" i="6"/>
  <c r="H19" i="6"/>
  <c r="AL19" i="6"/>
  <c r="I19" i="6"/>
  <c r="J19" i="6"/>
  <c r="AN19" i="6"/>
  <c r="K19" i="6"/>
  <c r="AO19" i="6"/>
  <c r="L19" i="6"/>
  <c r="AP19" i="6"/>
  <c r="M19" i="6"/>
  <c r="AQ19" i="6"/>
  <c r="B19" i="6"/>
  <c r="AF19" i="6"/>
  <c r="T20" i="13"/>
  <c r="S20" i="13"/>
  <c r="R20" i="13"/>
  <c r="Q20" i="13"/>
  <c r="T19" i="13"/>
  <c r="S19" i="13"/>
  <c r="R19" i="13"/>
  <c r="Q19" i="13"/>
  <c r="T18" i="13"/>
  <c r="S18" i="13"/>
  <c r="R18" i="13"/>
  <c r="Q18" i="13"/>
  <c r="N20" i="13"/>
  <c r="M20" i="13"/>
  <c r="L20" i="13"/>
  <c r="K20" i="13"/>
  <c r="J20" i="13"/>
  <c r="I20" i="13"/>
  <c r="H20" i="13"/>
  <c r="G20" i="13"/>
  <c r="F20" i="13"/>
  <c r="E20" i="13"/>
  <c r="D20" i="13"/>
  <c r="C20" i="13"/>
  <c r="N19" i="13"/>
  <c r="M19" i="13"/>
  <c r="L19" i="13"/>
  <c r="K19" i="13"/>
  <c r="J19" i="13"/>
  <c r="I19" i="13"/>
  <c r="H19" i="13"/>
  <c r="G19" i="13"/>
  <c r="F19" i="13"/>
  <c r="E19" i="13"/>
  <c r="D19" i="13"/>
  <c r="C19" i="13"/>
  <c r="N18" i="13"/>
  <c r="M18" i="13"/>
  <c r="L18" i="13"/>
  <c r="K18" i="13"/>
  <c r="J18" i="13"/>
  <c r="I18" i="13"/>
  <c r="H18" i="13"/>
  <c r="G18" i="13"/>
  <c r="F18" i="13"/>
  <c r="E18" i="13"/>
  <c r="D18" i="13"/>
  <c r="C18" i="13"/>
  <c r="AC19" i="6"/>
  <c r="AR19" i="6"/>
  <c r="N19" i="6"/>
  <c r="C27" i="6"/>
  <c r="AG27" i="6"/>
  <c r="D27" i="6"/>
  <c r="AH27" i="6"/>
  <c r="E27" i="6"/>
  <c r="AI27" i="6"/>
  <c r="F27" i="6"/>
  <c r="AJ27" i="6"/>
  <c r="G27" i="6"/>
  <c r="AK27" i="6"/>
  <c r="H27" i="6"/>
  <c r="AL27" i="6"/>
  <c r="I27" i="6"/>
  <c r="AM27" i="6"/>
  <c r="J27" i="6"/>
  <c r="AN27" i="6"/>
  <c r="K27" i="6"/>
  <c r="AO27" i="6"/>
  <c r="L27" i="6"/>
  <c r="AP27" i="6"/>
  <c r="M27" i="6"/>
  <c r="AQ27" i="6"/>
  <c r="B27" i="6"/>
  <c r="AF27" i="6"/>
  <c r="Q6" i="6"/>
  <c r="R28" i="6"/>
  <c r="S28" i="6"/>
  <c r="T28" i="6"/>
  <c r="U28" i="6"/>
  <c r="V28" i="6"/>
  <c r="W28" i="6"/>
  <c r="X28" i="6"/>
  <c r="Y28" i="6"/>
  <c r="Z28" i="6"/>
  <c r="AA28" i="6"/>
  <c r="AB28" i="6"/>
  <c r="Q28" i="6"/>
  <c r="C28" i="6"/>
  <c r="AG28" i="6"/>
  <c r="D28" i="6"/>
  <c r="AH28" i="6"/>
  <c r="E28" i="6"/>
  <c r="AI28" i="6"/>
  <c r="F28" i="6"/>
  <c r="AJ28" i="6"/>
  <c r="G28" i="6"/>
  <c r="AK28" i="6"/>
  <c r="H28" i="6"/>
  <c r="AL28" i="6"/>
  <c r="I28" i="6"/>
  <c r="AM28" i="6"/>
  <c r="J28" i="6"/>
  <c r="AN28" i="6"/>
  <c r="K28" i="6"/>
  <c r="AO28" i="6"/>
  <c r="L28" i="6"/>
  <c r="AP28" i="6"/>
  <c r="M28" i="6"/>
  <c r="AQ28" i="6"/>
  <c r="B28" i="6"/>
  <c r="N27" i="6"/>
  <c r="N26" i="6"/>
  <c r="R27" i="6"/>
  <c r="S27" i="6"/>
  <c r="T27" i="6"/>
  <c r="U27" i="6"/>
  <c r="V27" i="6"/>
  <c r="W27" i="6"/>
  <c r="X27" i="6"/>
  <c r="Y27" i="6"/>
  <c r="Z27" i="6"/>
  <c r="AA27" i="6"/>
  <c r="AB27" i="6"/>
  <c r="Q27" i="6"/>
  <c r="R17" i="6"/>
  <c r="S17" i="6"/>
  <c r="T17" i="6"/>
  <c r="U17" i="6"/>
  <c r="V17" i="6"/>
  <c r="W17" i="6"/>
  <c r="X17" i="6"/>
  <c r="Y17" i="6"/>
  <c r="Z17" i="6"/>
  <c r="AA17" i="6"/>
  <c r="AB17" i="6"/>
  <c r="Q17" i="6"/>
  <c r="R14" i="6"/>
  <c r="S14" i="6"/>
  <c r="T14" i="6"/>
  <c r="U14" i="6"/>
  <c r="V14" i="6"/>
  <c r="W14" i="6"/>
  <c r="X14" i="6"/>
  <c r="Y14" i="6"/>
  <c r="Z14" i="6"/>
  <c r="AA14" i="6"/>
  <c r="AB14" i="6"/>
  <c r="Q14" i="6"/>
  <c r="R16" i="6"/>
  <c r="S16" i="6"/>
  <c r="T16" i="6"/>
  <c r="U16" i="6"/>
  <c r="V16" i="6"/>
  <c r="W16" i="6"/>
  <c r="X16" i="6"/>
  <c r="Y16" i="6"/>
  <c r="Z16" i="6"/>
  <c r="AA16" i="6"/>
  <c r="AB16" i="6"/>
  <c r="Q16" i="6"/>
  <c r="C16" i="6"/>
  <c r="AG16" i="6"/>
  <c r="D16" i="6"/>
  <c r="AH16" i="6"/>
  <c r="E16" i="6"/>
  <c r="AI16" i="6"/>
  <c r="F16" i="6"/>
  <c r="AJ16" i="6"/>
  <c r="G16" i="6"/>
  <c r="AK16" i="6"/>
  <c r="H16" i="6"/>
  <c r="AL16" i="6"/>
  <c r="I16" i="6"/>
  <c r="AM16" i="6"/>
  <c r="J16" i="6"/>
  <c r="AN16" i="6"/>
  <c r="K16" i="6"/>
  <c r="AO16" i="6"/>
  <c r="L16" i="6"/>
  <c r="AP16" i="6"/>
  <c r="M16" i="6"/>
  <c r="AQ16" i="6"/>
  <c r="B16" i="6"/>
  <c r="AF16" i="6"/>
  <c r="R18" i="6"/>
  <c r="S18" i="6"/>
  <c r="T18" i="6"/>
  <c r="U18" i="6"/>
  <c r="V18" i="6"/>
  <c r="W18" i="6"/>
  <c r="X18" i="6"/>
  <c r="Y18" i="6"/>
  <c r="Z18" i="6"/>
  <c r="AA18" i="6"/>
  <c r="AB18" i="6"/>
  <c r="Q18" i="6"/>
  <c r="C18" i="6"/>
  <c r="AG18" i="6"/>
  <c r="D18" i="6"/>
  <c r="AH18" i="6"/>
  <c r="E18" i="6"/>
  <c r="AI18" i="6"/>
  <c r="F18" i="6"/>
  <c r="AJ18" i="6"/>
  <c r="G18" i="6"/>
  <c r="AK18" i="6"/>
  <c r="H18" i="6"/>
  <c r="AL18" i="6"/>
  <c r="I18" i="6"/>
  <c r="AM18" i="6"/>
  <c r="J18" i="6"/>
  <c r="AN18" i="6"/>
  <c r="K18" i="6"/>
  <c r="AO18" i="6"/>
  <c r="L18" i="6"/>
  <c r="AP18" i="6"/>
  <c r="M18" i="6"/>
  <c r="AQ18" i="6"/>
  <c r="B18" i="6"/>
  <c r="AF18" i="6"/>
  <c r="C15" i="6"/>
  <c r="AG15" i="6"/>
  <c r="D15" i="6"/>
  <c r="AH15" i="6"/>
  <c r="E15" i="6"/>
  <c r="AI15" i="6"/>
  <c r="F15" i="6"/>
  <c r="AJ15" i="6"/>
  <c r="G15" i="6"/>
  <c r="AK15" i="6"/>
  <c r="H15" i="6"/>
  <c r="AL15" i="6"/>
  <c r="I15" i="6"/>
  <c r="AM15" i="6"/>
  <c r="J15" i="6"/>
  <c r="AN15" i="6"/>
  <c r="K15" i="6"/>
  <c r="AO15" i="6"/>
  <c r="L15" i="6"/>
  <c r="AP15" i="6"/>
  <c r="M15" i="6"/>
  <c r="AQ15" i="6"/>
  <c r="B15" i="6"/>
  <c r="AF15" i="6"/>
  <c r="R15" i="6"/>
  <c r="S15" i="6"/>
  <c r="T15" i="6"/>
  <c r="U15" i="6"/>
  <c r="V15" i="6"/>
  <c r="W15" i="6"/>
  <c r="X15" i="6"/>
  <c r="Y15" i="6"/>
  <c r="Z15" i="6"/>
  <c r="AA15" i="6"/>
  <c r="AB15" i="6"/>
  <c r="Q15" i="6"/>
  <c r="C17" i="6"/>
  <c r="AG17" i="6"/>
  <c r="D17" i="6"/>
  <c r="AH17" i="6"/>
  <c r="E17" i="6"/>
  <c r="AI17" i="6"/>
  <c r="F17" i="6"/>
  <c r="AJ17" i="6"/>
  <c r="G17" i="6"/>
  <c r="AK17" i="6"/>
  <c r="H17" i="6"/>
  <c r="AL17" i="6"/>
  <c r="I17" i="6"/>
  <c r="AM17" i="6"/>
  <c r="J17" i="6"/>
  <c r="AN17" i="6"/>
  <c r="K17" i="6"/>
  <c r="AO17" i="6"/>
  <c r="L17" i="6"/>
  <c r="AP17" i="6"/>
  <c r="M17" i="6"/>
  <c r="AQ17" i="6"/>
  <c r="B17" i="6"/>
  <c r="R13" i="6"/>
  <c r="S13" i="6"/>
  <c r="T13" i="6"/>
  <c r="U13" i="6"/>
  <c r="V13" i="6"/>
  <c r="W13" i="6"/>
  <c r="X13" i="6"/>
  <c r="Y13" i="6"/>
  <c r="Z13" i="6"/>
  <c r="AA13" i="6"/>
  <c r="AB13" i="6"/>
  <c r="C14" i="6"/>
  <c r="AG14" i="6"/>
  <c r="D14" i="6"/>
  <c r="AH14" i="6"/>
  <c r="E14" i="6"/>
  <c r="AI14" i="6"/>
  <c r="F14" i="6"/>
  <c r="AJ14" i="6"/>
  <c r="G14" i="6"/>
  <c r="AK14" i="6"/>
  <c r="H14" i="6"/>
  <c r="AL14" i="6"/>
  <c r="I14" i="6"/>
  <c r="AM14" i="6"/>
  <c r="J14" i="6"/>
  <c r="AN14" i="6"/>
  <c r="K14" i="6"/>
  <c r="AO14" i="6"/>
  <c r="L14" i="6"/>
  <c r="AP14" i="6"/>
  <c r="M14" i="6"/>
  <c r="AQ14" i="6"/>
  <c r="B14" i="6"/>
  <c r="AF14" i="6"/>
  <c r="Q13" i="6"/>
  <c r="C13" i="6"/>
  <c r="AG13" i="6"/>
  <c r="D13" i="6"/>
  <c r="AH13" i="6"/>
  <c r="E13" i="6"/>
  <c r="AI13" i="6"/>
  <c r="F13" i="6"/>
  <c r="G13" i="6"/>
  <c r="AK13" i="6"/>
  <c r="H13" i="6"/>
  <c r="AL13" i="6"/>
  <c r="I13" i="6"/>
  <c r="AM13" i="6"/>
  <c r="J13" i="6"/>
  <c r="K13" i="6"/>
  <c r="AO13" i="6"/>
  <c r="L13" i="6"/>
  <c r="AP13" i="6"/>
  <c r="M13" i="6"/>
  <c r="B13" i="6"/>
  <c r="AF13" i="6"/>
  <c r="R12" i="6"/>
  <c r="R11" i="6"/>
  <c r="S12" i="6"/>
  <c r="S11" i="6"/>
  <c r="T12" i="6"/>
  <c r="T11" i="6"/>
  <c r="U12" i="6"/>
  <c r="V12" i="6"/>
  <c r="V11" i="6"/>
  <c r="W12" i="6"/>
  <c r="X12" i="6"/>
  <c r="Y12" i="6"/>
  <c r="Y11" i="6"/>
  <c r="Z12" i="6"/>
  <c r="Z11" i="6"/>
  <c r="AA12" i="6"/>
  <c r="AA11" i="6"/>
  <c r="AB12" i="6"/>
  <c r="AB11" i="6"/>
  <c r="C12" i="6"/>
  <c r="D12" i="6"/>
  <c r="E12" i="6"/>
  <c r="F12" i="6"/>
  <c r="G12" i="6"/>
  <c r="H12" i="6"/>
  <c r="I12" i="6"/>
  <c r="J12" i="6"/>
  <c r="K12" i="6"/>
  <c r="L12" i="6"/>
  <c r="M12" i="6"/>
  <c r="Q12" i="6"/>
  <c r="B12" i="6"/>
  <c r="R8" i="6"/>
  <c r="S8" i="6"/>
  <c r="T8" i="6"/>
  <c r="U8" i="6"/>
  <c r="V8" i="6"/>
  <c r="W8" i="6"/>
  <c r="X8" i="6"/>
  <c r="Y8" i="6"/>
  <c r="Z8" i="6"/>
  <c r="AA8" i="6"/>
  <c r="AB8" i="6"/>
  <c r="Q8" i="6"/>
  <c r="C8" i="6"/>
  <c r="D8" i="6"/>
  <c r="E8" i="6"/>
  <c r="F8" i="6"/>
  <c r="G8" i="6"/>
  <c r="H8" i="6"/>
  <c r="I8" i="6"/>
  <c r="J8" i="6"/>
  <c r="K8" i="6"/>
  <c r="L8" i="6"/>
  <c r="M8" i="6"/>
  <c r="B8" i="6"/>
  <c r="C6" i="6"/>
  <c r="AG6" i="6"/>
  <c r="D6" i="6"/>
  <c r="AH6" i="6"/>
  <c r="E6" i="6"/>
  <c r="AI6" i="6"/>
  <c r="F6" i="6"/>
  <c r="AJ6" i="6"/>
  <c r="G6" i="6"/>
  <c r="AK6" i="6"/>
  <c r="H6" i="6"/>
  <c r="AL6" i="6"/>
  <c r="I6" i="6"/>
  <c r="AM6" i="6"/>
  <c r="J6" i="6"/>
  <c r="AN6" i="6"/>
  <c r="K6" i="6"/>
  <c r="AO6" i="6"/>
  <c r="L6" i="6"/>
  <c r="AP6" i="6"/>
  <c r="M6" i="6"/>
  <c r="AQ6" i="6"/>
  <c r="B6" i="6"/>
  <c r="AF6" i="6"/>
  <c r="R6" i="6"/>
  <c r="S6" i="6"/>
  <c r="T6" i="6"/>
  <c r="U6" i="6"/>
  <c r="V6" i="6"/>
  <c r="W6" i="6"/>
  <c r="W7" i="6"/>
  <c r="X6" i="6"/>
  <c r="Y6" i="6"/>
  <c r="Z6" i="6"/>
  <c r="AA6" i="6"/>
  <c r="AB6" i="6"/>
  <c r="N24" i="13"/>
  <c r="M24" i="13"/>
  <c r="L24" i="13"/>
  <c r="K24" i="13"/>
  <c r="J24" i="13"/>
  <c r="I24" i="13"/>
  <c r="H24" i="13"/>
  <c r="G24" i="13"/>
  <c r="F24" i="13"/>
  <c r="E24" i="13"/>
  <c r="D24" i="13"/>
  <c r="C24" i="13"/>
  <c r="S24" i="13"/>
  <c r="T24" i="13"/>
  <c r="U24" i="13"/>
  <c r="V24" i="13"/>
  <c r="W24" i="13"/>
  <c r="X24" i="13"/>
  <c r="Y24" i="13"/>
  <c r="Z24" i="13"/>
  <c r="AA24" i="13"/>
  <c r="AB24" i="13"/>
  <c r="Q24" i="13"/>
  <c r="R24" i="13"/>
  <c r="R7" i="6"/>
  <c r="Q11" i="6"/>
  <c r="X11" i="6"/>
  <c r="B11" i="6"/>
  <c r="W11" i="6"/>
  <c r="AC28" i="6"/>
  <c r="C11" i="6"/>
  <c r="U11" i="6"/>
  <c r="AI12" i="6"/>
  <c r="E11" i="6"/>
  <c r="AP12" i="6"/>
  <c r="L11" i="6"/>
  <c r="L22" i="6"/>
  <c r="AL12" i="6"/>
  <c r="H11" i="6"/>
  <c r="D11" i="6"/>
  <c r="D22" i="6"/>
  <c r="AM12" i="6"/>
  <c r="I11" i="6"/>
  <c r="AO12" i="6"/>
  <c r="K11" i="6"/>
  <c r="AK12" i="6"/>
  <c r="G11" i="6"/>
  <c r="AQ12" i="6"/>
  <c r="M11" i="6"/>
  <c r="AN12" i="6"/>
  <c r="J11" i="6"/>
  <c r="J22" i="6"/>
  <c r="AJ12" i="6"/>
  <c r="F11" i="6"/>
  <c r="AB7" i="6"/>
  <c r="AN8" i="6"/>
  <c r="B22" i="6"/>
  <c r="AF12" i="6"/>
  <c r="AQ8" i="6"/>
  <c r="AM8" i="6"/>
  <c r="AI8" i="6"/>
  <c r="I22" i="6"/>
  <c r="AJ8" i="6"/>
  <c r="M23" i="6"/>
  <c r="AQ13" i="6"/>
  <c r="N28" i="6"/>
  <c r="AF28" i="6"/>
  <c r="AP8" i="6"/>
  <c r="AL8" i="6"/>
  <c r="AH8" i="6"/>
  <c r="E23" i="6"/>
  <c r="AH12" i="6"/>
  <c r="AF8" i="6"/>
  <c r="AO8" i="6"/>
  <c r="AK8" i="6"/>
  <c r="AG8" i="6"/>
  <c r="N13" i="6"/>
  <c r="C22" i="6"/>
  <c r="AG12" i="6"/>
  <c r="AN13" i="6"/>
  <c r="F22" i="6"/>
  <c r="AJ13" i="6"/>
  <c r="N17" i="6"/>
  <c r="AF17" i="6"/>
  <c r="B23" i="6"/>
  <c r="B24" i="6"/>
  <c r="L7" i="6"/>
  <c r="H7" i="6"/>
  <c r="D7" i="6"/>
  <c r="S7" i="6"/>
  <c r="K7" i="6"/>
  <c r="G7" i="6"/>
  <c r="C7" i="6"/>
  <c r="N14" i="6"/>
  <c r="N16" i="6"/>
  <c r="Q7" i="6"/>
  <c r="Y7" i="6"/>
  <c r="U7" i="6"/>
  <c r="N6" i="6"/>
  <c r="J7" i="6"/>
  <c r="F7" i="6"/>
  <c r="N8" i="6"/>
  <c r="N3" i="6"/>
  <c r="N7" i="6"/>
  <c r="AA7" i="6"/>
  <c r="X7" i="6"/>
  <c r="T7" i="6"/>
  <c r="M7" i="6"/>
  <c r="I7" i="6"/>
  <c r="E7" i="6"/>
  <c r="N12" i="6"/>
  <c r="B7" i="6"/>
  <c r="K22" i="6"/>
  <c r="N15" i="6"/>
  <c r="N18" i="6"/>
  <c r="Z7" i="6"/>
  <c r="V7" i="6"/>
  <c r="H23" i="6"/>
  <c r="O5" i="9"/>
  <c r="AR27" i="6"/>
  <c r="AR26" i="6"/>
  <c r="AR12" i="6"/>
  <c r="L23" i="6"/>
  <c r="L29" i="6"/>
  <c r="L31" i="6"/>
  <c r="L32" i="6"/>
  <c r="N11" i="6"/>
  <c r="D23" i="6"/>
  <c r="D29" i="6"/>
  <c r="D31" i="6"/>
  <c r="D32" i="6"/>
  <c r="I23" i="6"/>
  <c r="I24" i="6"/>
  <c r="C23" i="6"/>
  <c r="C24" i="6"/>
  <c r="K23" i="6"/>
  <c r="K29" i="6"/>
  <c r="K31" i="6"/>
  <c r="K32" i="6"/>
  <c r="J23" i="6"/>
  <c r="B29" i="6"/>
  <c r="B31" i="6"/>
  <c r="B32" i="6"/>
  <c r="F23" i="6"/>
  <c r="M24" i="6"/>
  <c r="M29" i="6"/>
  <c r="M31" i="6"/>
  <c r="M32" i="6"/>
  <c r="H22" i="6"/>
  <c r="E22" i="6"/>
  <c r="M22" i="6"/>
  <c r="G23" i="6"/>
  <c r="G22" i="6"/>
  <c r="E24" i="6"/>
  <c r="E29" i="6"/>
  <c r="E31" i="6"/>
  <c r="E32" i="6"/>
  <c r="D24" i="6"/>
  <c r="H24" i="6"/>
  <c r="H29" i="6"/>
  <c r="H31" i="6"/>
  <c r="H32" i="6"/>
  <c r="L24" i="6"/>
  <c r="I29" i="6"/>
  <c r="I31" i="6"/>
  <c r="I32" i="6"/>
  <c r="C29" i="6"/>
  <c r="C31" i="6"/>
  <c r="C32" i="6"/>
  <c r="K24" i="6"/>
  <c r="N22" i="6"/>
  <c r="G29" i="6"/>
  <c r="G31" i="6"/>
  <c r="G32" i="6"/>
  <c r="G24" i="6"/>
  <c r="F24" i="6"/>
  <c r="F29" i="6"/>
  <c r="F31" i="6"/>
  <c r="F32" i="6"/>
  <c r="N23" i="6"/>
  <c r="J24" i="6"/>
  <c r="J29" i="6"/>
  <c r="J31" i="6"/>
  <c r="J32" i="6"/>
  <c r="N29" i="6"/>
  <c r="N31" i="6"/>
  <c r="N32" i="6"/>
  <c r="AC18" i="6"/>
  <c r="Y22" i="6"/>
  <c r="U22" i="6"/>
  <c r="X22" i="6"/>
  <c r="T22" i="6"/>
  <c r="W22" i="6"/>
  <c r="S22" i="6"/>
  <c r="Z22" i="6"/>
  <c r="V22" i="6"/>
  <c r="R22" i="6"/>
  <c r="Q22" i="6"/>
  <c r="AA22" i="6"/>
  <c r="AB22" i="6"/>
  <c r="AC27" i="6"/>
  <c r="AC13" i="6"/>
  <c r="AC17" i="6"/>
  <c r="AC15" i="6"/>
  <c r="AC14" i="6"/>
  <c r="AC16" i="6"/>
  <c r="G9" i="9"/>
  <c r="F5" i="9" s="1"/>
  <c r="AC26" i="6"/>
  <c r="AC6" i="6"/>
  <c r="R20" i="6"/>
  <c r="W23" i="6"/>
  <c r="W29" i="6"/>
  <c r="S20" i="6"/>
  <c r="W20" i="6"/>
  <c r="AB20" i="6"/>
  <c r="V20" i="6"/>
  <c r="Q20" i="6"/>
  <c r="AC12" i="6"/>
  <c r="R9" i="6"/>
  <c r="U9" i="6"/>
  <c r="S9" i="6"/>
  <c r="W9" i="6"/>
  <c r="S23" i="6"/>
  <c r="S29" i="6"/>
  <c r="AA23" i="6"/>
  <c r="AA29" i="6"/>
  <c r="Y9" i="6"/>
  <c r="AC22" i="6"/>
  <c r="Z9" i="6"/>
  <c r="R23" i="6"/>
  <c r="R29" i="6"/>
  <c r="X23" i="6"/>
  <c r="X29" i="6"/>
  <c r="T9" i="6"/>
  <c r="AB23" i="6"/>
  <c r="AB29" i="6"/>
  <c r="AB9" i="6"/>
  <c r="U23" i="6"/>
  <c r="U29" i="6"/>
  <c r="V23" i="6"/>
  <c r="V29" i="6"/>
  <c r="Y23" i="6"/>
  <c r="Y29" i="6"/>
  <c r="X9" i="6"/>
  <c r="AA9" i="6"/>
  <c r="V9" i="6"/>
  <c r="Z23" i="6"/>
  <c r="Z29" i="6"/>
  <c r="X20" i="6"/>
  <c r="T23" i="6"/>
  <c r="T29" i="6"/>
  <c r="Q9" i="6"/>
  <c r="Q23" i="6"/>
  <c r="Q29" i="6"/>
  <c r="AC8" i="6"/>
  <c r="Z20" i="6"/>
  <c r="Y20" i="6"/>
  <c r="U20" i="6"/>
  <c r="T20" i="6"/>
  <c r="AA20" i="6"/>
  <c r="AC11" i="6"/>
  <c r="AC3" i="6"/>
  <c r="W24" i="6"/>
  <c r="R31" i="6"/>
  <c r="R32" i="6"/>
  <c r="S31" i="6"/>
  <c r="S32" i="6"/>
  <c r="AA24" i="6"/>
  <c r="S24" i="6"/>
  <c r="R24" i="6"/>
  <c r="U24" i="6"/>
  <c r="Q24" i="6"/>
  <c r="Z24" i="6"/>
  <c r="Z31" i="6"/>
  <c r="Z32" i="6"/>
  <c r="Y24" i="6"/>
  <c r="Y31" i="6"/>
  <c r="Y32" i="6"/>
  <c r="V31" i="6"/>
  <c r="V32" i="6"/>
  <c r="AC9" i="6"/>
  <c r="AA31" i="6"/>
  <c r="AA32" i="6"/>
  <c r="V24" i="6"/>
  <c r="W31" i="6"/>
  <c r="W32" i="6"/>
  <c r="U31" i="6"/>
  <c r="U32" i="6"/>
  <c r="T24" i="6"/>
  <c r="T31" i="6"/>
  <c r="T32" i="6"/>
  <c r="X24" i="6"/>
  <c r="X31" i="6"/>
  <c r="X32" i="6"/>
  <c r="AB24" i="6"/>
  <c r="AB31" i="6"/>
  <c r="AB32" i="6"/>
  <c r="AC23" i="6"/>
  <c r="AC29" i="6"/>
  <c r="Q31" i="6"/>
  <c r="AC31" i="6"/>
  <c r="AC32" i="6"/>
  <c r="Q32" i="6"/>
  <c r="AF9" i="6" l="1"/>
  <c r="AN9" i="6"/>
  <c r="AH9" i="6"/>
  <c r="W1" i="6"/>
  <c r="O10" i="9"/>
  <c r="J9" i="9"/>
  <c r="T1" i="6"/>
  <c r="G16" i="9"/>
  <c r="Q1" i="6"/>
  <c r="J10" i="9"/>
  <c r="Z1" i="6"/>
  <c r="G14" i="9"/>
  <c r="U1" i="6"/>
  <c r="AB1" i="6"/>
  <c r="J14" i="9"/>
  <c r="Y1" i="6"/>
  <c r="O9" i="9"/>
  <c r="X1" i="6"/>
  <c r="S1" i="6"/>
  <c r="G10" i="9"/>
  <c r="J16" i="9"/>
  <c r="AA1" i="6"/>
  <c r="R1" i="6"/>
  <c r="G12" i="9"/>
  <c r="V1" i="6"/>
  <c r="J12" i="9"/>
  <c r="AP9" i="6"/>
  <c r="AK9" i="6"/>
  <c r="AJ9" i="6"/>
  <c r="AK11" i="6"/>
  <c r="AK20" i="6" s="1"/>
  <c r="AN11" i="6"/>
  <c r="AN23" i="6" s="1"/>
  <c r="AJ11" i="6"/>
  <c r="AJ23" i="6" s="1"/>
  <c r="AR18" i="6"/>
  <c r="AQ9" i="6"/>
  <c r="AI11" i="6"/>
  <c r="AI23" i="6" s="1"/>
  <c r="AI29" i="6" s="1"/>
  <c r="AI31" i="6" s="1"/>
  <c r="AI32" i="6" s="1"/>
  <c r="AR3" i="6"/>
  <c r="O12" i="9"/>
  <c r="AI9" i="6"/>
  <c r="AH11" i="6"/>
  <c r="AH20" i="6" s="1"/>
  <c r="AR15" i="6"/>
  <c r="AR8" i="6"/>
  <c r="AQ11" i="6"/>
  <c r="AQ20" i="6" s="1"/>
  <c r="AR28" i="6"/>
  <c r="AL9" i="6"/>
  <c r="AR14" i="6"/>
  <c r="AO11" i="6"/>
  <c r="AO20" i="6" s="1"/>
  <c r="AM9" i="6"/>
  <c r="AR17" i="6"/>
  <c r="AL11" i="6"/>
  <c r="AL20" i="6" s="1"/>
  <c r="AM11" i="6"/>
  <c r="AM22" i="6" s="1"/>
  <c r="AR6" i="6"/>
  <c r="AG9" i="6"/>
  <c r="AR13" i="6"/>
  <c r="AP11" i="6"/>
  <c r="AP23" i="6" s="1"/>
  <c r="AR16" i="6"/>
  <c r="AG11" i="6"/>
  <c r="AG20" i="6" s="1"/>
  <c r="AF11" i="6"/>
  <c r="AO9" i="6"/>
  <c r="AH22" i="6" l="1"/>
  <c r="AN20" i="6"/>
  <c r="AH23" i="6"/>
  <c r="AH29" i="6" s="1"/>
  <c r="AH31" i="6" s="1"/>
  <c r="AJ22" i="6"/>
  <c r="AN22" i="6"/>
  <c r="Q12" i="9"/>
  <c r="R12" i="9" s="1"/>
  <c r="O14" i="9"/>
  <c r="K12" i="9"/>
  <c r="AJ20" i="6"/>
  <c r="Q10" i="9"/>
  <c r="R10" i="9" s="1"/>
  <c r="AI24" i="6"/>
  <c r="K10" i="9"/>
  <c r="K14" i="9"/>
  <c r="L12" i="9"/>
  <c r="H12" i="9"/>
  <c r="M12" i="9" s="1"/>
  <c r="L10" i="9"/>
  <c r="L16" i="9"/>
  <c r="H16" i="9"/>
  <c r="M16" i="9" s="1"/>
  <c r="L14" i="9"/>
  <c r="H14" i="9"/>
  <c r="H10" i="9"/>
  <c r="K16" i="9"/>
  <c r="AK23" i="6"/>
  <c r="AK24" i="6" s="1"/>
  <c r="AK22" i="6"/>
  <c r="AM23" i="6"/>
  <c r="AM24" i="6" s="1"/>
  <c r="AM20" i="6"/>
  <c r="AI20" i="6"/>
  <c r="AR9" i="6"/>
  <c r="AQ23" i="6"/>
  <c r="AQ24" i="6" s="1"/>
  <c r="AI22" i="6"/>
  <c r="AL23" i="6"/>
  <c r="AL24" i="6" s="1"/>
  <c r="AL22" i="6"/>
  <c r="AQ22" i="6"/>
  <c r="AG23" i="6"/>
  <c r="AG24" i="6" s="1"/>
  <c r="AP20" i="6"/>
  <c r="AP22" i="6"/>
  <c r="AG22" i="6"/>
  <c r="AO22" i="6"/>
  <c r="AO23" i="6"/>
  <c r="AO29" i="6" s="1"/>
  <c r="AO31" i="6" s="1"/>
  <c r="AO32" i="6" s="1"/>
  <c r="AJ24" i="6"/>
  <c r="AJ29" i="6"/>
  <c r="AJ31" i="6" s="1"/>
  <c r="AJ32" i="6" s="1"/>
  <c r="AN24" i="6"/>
  <c r="AN29" i="6"/>
  <c r="AN31" i="6" s="1"/>
  <c r="AN32" i="6" s="1"/>
  <c r="Q14" i="9"/>
  <c r="R14" i="9" s="1"/>
  <c r="AF20" i="6"/>
  <c r="AF23" i="6"/>
  <c r="AR11" i="6"/>
  <c r="AF22" i="6"/>
  <c r="AP29" i="6"/>
  <c r="AP31" i="6" s="1"/>
  <c r="AP32" i="6" s="1"/>
  <c r="AP24" i="6"/>
  <c r="M14" i="9" l="1"/>
  <c r="AH24" i="6"/>
  <c r="AL29" i="6"/>
  <c r="AL31" i="6" s="1"/>
  <c r="AL32" i="6" s="1"/>
  <c r="P12" i="9"/>
  <c r="M10" i="9"/>
  <c r="P10" i="9"/>
  <c r="P14" i="9"/>
  <c r="AK29" i="6"/>
  <c r="AK31" i="6" s="1"/>
  <c r="AK32" i="6" s="1"/>
  <c r="AQ29" i="6"/>
  <c r="AQ31" i="6" s="1"/>
  <c r="AQ32" i="6" s="1"/>
  <c r="AM29" i="6"/>
  <c r="AM31" i="6" s="1"/>
  <c r="AM32" i="6" s="1"/>
  <c r="AG29" i="6"/>
  <c r="AG31" i="6" s="1"/>
  <c r="AG32" i="6" s="1"/>
  <c r="AO24" i="6"/>
  <c r="AR22" i="6"/>
  <c r="AF29" i="6"/>
  <c r="AF24" i="6"/>
  <c r="AR23" i="6"/>
  <c r="AH32" i="6"/>
  <c r="O16" i="9" l="1"/>
  <c r="P16" i="9" s="1"/>
  <c r="AR29" i="6"/>
  <c r="AF31" i="6"/>
  <c r="AF32" i="6" l="1"/>
  <c r="AR31" i="6"/>
  <c r="AR32" i="6" s="1"/>
  <c r="Q16" i="9"/>
  <c r="R16" i="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Antonio Saiz</author>
  </authors>
  <commentList>
    <comment ref="BO4" authorId="0" shapeId="0" xr:uid="{56BCF7F2-0C93-4EE8-9534-A40FC168704A}">
      <text>
        <r>
          <rPr>
            <b/>
            <sz val="9"/>
            <color indexed="81"/>
            <rFont val="Tahoma"/>
            <family val="2"/>
          </rPr>
          <t>Antonio Saiz:</t>
        </r>
        <r>
          <rPr>
            <sz val="9"/>
            <color indexed="81"/>
            <rFont val="Tahoma"/>
            <family val="2"/>
          </rPr>
          <t xml:space="preserve">
provisional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Antonio Saiz</author>
  </authors>
  <commentList>
    <comment ref="S6" authorId="0" shapeId="0" xr:uid="{0109E081-B7C7-4180-80D5-F92D10CE6C1D}">
      <text>
        <r>
          <rPr>
            <b/>
            <sz val="9"/>
            <color indexed="81"/>
            <rFont val="Tahoma"/>
            <family val="2"/>
          </rPr>
          <t>Antonio Saiz:</t>
        </r>
        <r>
          <rPr>
            <sz val="9"/>
            <color indexed="81"/>
            <rFont val="Tahoma"/>
            <family val="2"/>
          </rPr>
          <t xml:space="preserve">
fianza 646 €</t>
        </r>
      </text>
    </comment>
    <comment ref="T8" authorId="0" shapeId="0" xr:uid="{2E40B24F-5398-4648-B10F-401AE8946E3B}">
      <text>
        <r>
          <rPr>
            <b/>
            <sz val="9"/>
            <color indexed="81"/>
            <rFont val="Tahoma"/>
            <family val="2"/>
          </rPr>
          <t>Antonio Saiz:</t>
        </r>
        <r>
          <rPr>
            <sz val="9"/>
            <color indexed="81"/>
            <rFont val="Tahoma"/>
            <family val="2"/>
          </rPr>
          <t xml:space="preserve">
provisional</t>
        </r>
      </text>
    </comment>
    <comment ref="I22" authorId="0" shapeId="0" xr:uid="{E965B94A-D5DE-4861-A322-8908EA85DD0A}">
      <text>
        <r>
          <rPr>
            <b/>
            <sz val="9"/>
            <color indexed="81"/>
            <rFont val="Tahoma"/>
            <family val="2"/>
          </rPr>
          <t>Antonio Saiz:</t>
        </r>
        <r>
          <rPr>
            <sz val="9"/>
            <color indexed="81"/>
            <rFont val="Tahoma"/>
            <family val="2"/>
          </rPr>
          <t xml:space="preserve">
Aire acondicionado</t>
        </r>
      </text>
    </comment>
    <comment ref="N22" authorId="0" shapeId="0" xr:uid="{55B05DD6-18A4-4E68-AEE6-A755CECCBDDD}">
      <text>
        <r>
          <rPr>
            <b/>
            <sz val="9"/>
            <color indexed="81"/>
            <rFont val="Tahoma"/>
            <family val="2"/>
          </rPr>
          <t>Antonio Saiz:</t>
        </r>
        <r>
          <rPr>
            <sz val="9"/>
            <color indexed="81"/>
            <rFont val="Tahoma"/>
            <family val="2"/>
          </rPr>
          <t xml:space="preserve">
intereses BBVA</t>
        </r>
      </text>
    </comment>
  </commentList>
</comments>
</file>

<file path=xl/sharedStrings.xml><?xml version="1.0" encoding="utf-8"?>
<sst xmlns="http://schemas.openxmlformats.org/spreadsheetml/2006/main" count="292" uniqueCount="120">
  <si>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</si>
  <si>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</si>
  <si>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</si>
  <si>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</si>
  <si>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</si>
  <si>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</si>
  <si>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</si>
  <si>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</si>
  <si>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</si>
  <si>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</si>
  <si>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</si>
  <si>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</si>
  <si>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</si>
  <si>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</si>
  <si>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</si>
  <si>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</si>
  <si>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</si>
  <si>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JUNIO</t>
  </si>
  <si>
    <t>JULIO</t>
  </si>
  <si>
    <t>AGOSTO</t>
  </si>
  <si>
    <t>SEPTIEMBRE</t>
  </si>
  <si>
    <t>OCTUBRE</t>
  </si>
  <si>
    <t>DICIEMBRE</t>
  </si>
  <si>
    <t>Ingresos</t>
  </si>
  <si>
    <t>Coste Personal</t>
  </si>
  <si>
    <t>Gastos Indirectos</t>
  </si>
  <si>
    <t>Resultado Operativo</t>
  </si>
  <si>
    <t>Total Gastos</t>
  </si>
  <si>
    <t>Amortizaciones</t>
  </si>
  <si>
    <t>Resultado de Explotación</t>
  </si>
  <si>
    <t>Resultado</t>
  </si>
  <si>
    <t>Mes</t>
  </si>
  <si>
    <t>Coste personal</t>
  </si>
  <si>
    <t>Suministro</t>
  </si>
  <si>
    <t>Servicios Profesionales</t>
  </si>
  <si>
    <t xml:space="preserve">Mantenimiento </t>
  </si>
  <si>
    <t>Colaborador Jurídico</t>
  </si>
  <si>
    <t>Agua</t>
  </si>
  <si>
    <t>Publicidad, RRSS, WEB</t>
  </si>
  <si>
    <t>Ratio Personal</t>
  </si>
  <si>
    <t>Ratio gastos Indirectos</t>
  </si>
  <si>
    <t>Gasto Extraor / Finan</t>
  </si>
  <si>
    <t>Resultado Neto antes de I.S.</t>
  </si>
  <si>
    <t>Seguros</t>
  </si>
  <si>
    <t>Alquiler</t>
  </si>
  <si>
    <t>2019 Budget</t>
  </si>
  <si>
    <t>%</t>
  </si>
  <si>
    <t>Acum</t>
  </si>
  <si>
    <t>Acum 18</t>
  </si>
  <si>
    <t>Acum BG</t>
  </si>
  <si>
    <t xml:space="preserve"> </t>
  </si>
  <si>
    <t>agosto 2016</t>
  </si>
  <si>
    <t>septiembre 2016</t>
  </si>
  <si>
    <t>octubre 2016</t>
  </si>
  <si>
    <t>noviembre 2016</t>
  </si>
  <si>
    <t>diciembre 2016</t>
  </si>
  <si>
    <t>enero 2017</t>
  </si>
  <si>
    <t>febrero 2017</t>
  </si>
  <si>
    <t>marzo 2017</t>
  </si>
  <si>
    <t>abril 2017</t>
  </si>
  <si>
    <t>mayo 2017</t>
  </si>
  <si>
    <t>junio 2017</t>
  </si>
  <si>
    <t>julio 2017</t>
  </si>
  <si>
    <t>agosto 2017</t>
  </si>
  <si>
    <t>septiembre 2017</t>
  </si>
  <si>
    <t>octubre 2017</t>
  </si>
  <si>
    <t>noviembre 2017</t>
  </si>
  <si>
    <t>diciembre 2017</t>
  </si>
  <si>
    <t>enero 2018</t>
  </si>
  <si>
    <t>febrero 2018</t>
  </si>
  <si>
    <t>marzo 2018</t>
  </si>
  <si>
    <t>abril 2018</t>
  </si>
  <si>
    <t>mayo 2018</t>
  </si>
  <si>
    <t>junio 2018</t>
  </si>
  <si>
    <t>julio 2018</t>
  </si>
  <si>
    <t>agosto 2018</t>
  </si>
  <si>
    <t>septiembre 2018</t>
  </si>
  <si>
    <t>octubre 2018</t>
  </si>
  <si>
    <t>noviembre 2018</t>
  </si>
  <si>
    <t>diciembre 2018</t>
  </si>
  <si>
    <t>enero 2019</t>
  </si>
  <si>
    <t>febrero 2019</t>
  </si>
  <si>
    <t>marzo 2019</t>
  </si>
  <si>
    <t>Cantidad del producto</t>
  </si>
  <si>
    <t>Precio total</t>
  </si>
  <si>
    <t xml:space="preserve">     Albacete</t>
  </si>
  <si>
    <t>Compras</t>
  </si>
  <si>
    <t>GASTOS</t>
  </si>
  <si>
    <t>Alquiler local</t>
  </si>
  <si>
    <t>Publicidad franquicia</t>
  </si>
  <si>
    <t>Préstamo ICO</t>
  </si>
  <si>
    <t>Renting Coche</t>
  </si>
  <si>
    <t>Canon  franquicia</t>
  </si>
  <si>
    <t>Nóminas</t>
  </si>
  <si>
    <t>Seguridad Social</t>
  </si>
  <si>
    <t>Autónomo</t>
  </si>
  <si>
    <t>Electricidad</t>
  </si>
  <si>
    <t>Teléfono+ internet</t>
  </si>
  <si>
    <t>Prensa</t>
  </si>
  <si>
    <t>Limpieza Cristales</t>
  </si>
  <si>
    <t>Productos</t>
  </si>
  <si>
    <t>Gestoría</t>
  </si>
  <si>
    <t>Seguro Local</t>
  </si>
  <si>
    <t>Norprevención</t>
  </si>
  <si>
    <t>Protección datos</t>
  </si>
  <si>
    <t>Trimestre IVA</t>
  </si>
  <si>
    <t>Varios</t>
  </si>
  <si>
    <t>TOTAL</t>
  </si>
  <si>
    <t>ANUAL</t>
  </si>
  <si>
    <t>MAYO</t>
  </si>
  <si>
    <t>NOVIEMBRE</t>
  </si>
  <si>
    <t>Margen Bruto</t>
  </si>
  <si>
    <t>Margen bruto</t>
  </si>
  <si>
    <t>Renting</t>
  </si>
  <si>
    <t>Impuestos trimestrales</t>
  </si>
  <si>
    <t>Inferior</t>
  </si>
  <si>
    <t>Superior</t>
  </si>
  <si>
    <t>Gastos</t>
  </si>
  <si>
    <t>Subvenciones</t>
  </si>
  <si>
    <t>ANÁLISIS DE NEGOCIO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</si>
</sst>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\ &quot;€&quot;_-;\-* #,##0\ &quot;€&quot;_-;_-* &quot;-&quot;??\ &quot;€&quot;_-;_-@_-"/>
    <numFmt numFmtId="167" formatCode="#,##0.00\ &quot;€&quot;"/>
    <numFmt numFmtId="169" formatCode="#,##0.00\ _€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1"/>
      <name val="Calibri"/>
      <family val="2"/>
      <scheme val="minor"/>
    </font>
    <font>
      <i/>
      <sz val="9"/>
      <name val="Arial"/>
      <family val="2"/>
    </font>
    <font>
      <sz val="1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48"/>
      <color theme="0"/>
      <name val="Freestyle Script"/>
      <family val="4"/>
    </font>
    <font>
      <b/>
      <sz val="14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18"/>
      <color theme="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0">
    <fill>
      <patternFill patternType="none"/>
    </fill>
    <fill>
      <patternFill patternType="gray125"/>
    </fill>
    <fill>
      <patternFill patternType="solid">
        <fgColor rgb="FF38761D"/>
        <bgColor rgb="FF38761D"/>
      </patternFill>
    </fill>
    <fill>
      <patternFill patternType="solid">
        <fgColor theme="9"/>
        <bgColor rgb="FFB6D7A8"/>
      </patternFill>
    </fill>
    <fill>
      <patternFill patternType="solid">
        <fgColor theme="9" tint="0.39997558519241921"/>
        <bgColor rgb="FFFFF2CC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theme="9"/>
        <bgColor indexed="64"/>
      </patternFill>
    </fill>
    <fill>
      <patternFill patternType="solid">
        <fgColor rgb="FFFF9900"/>
        <bgColor rgb="FFFF9900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rgb="FF38761D"/>
      </patternFill>
    </fill>
    <fill>
      <patternFill patternType="solid">
        <fgColor theme="8" tint="0.59999389629810485"/>
        <bgColor rgb="FFB6D7A8"/>
      </patternFill>
    </fill>
    <fill>
      <patternFill patternType="solid">
        <fgColor theme="8" tint="0.59999389629810485"/>
        <bgColor rgb="FFFFF2CC"/>
      </patternFill>
    </fill>
    <fill>
      <patternFill patternType="solid">
        <fgColor theme="8" tint="-0.249977111117893"/>
        <bgColor rgb="FFB6D7A8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rgb="FFFFF2CC"/>
      </patternFill>
    </fill>
    <fill>
      <patternFill patternType="solid">
        <fgColor theme="7" tint="-0.499984740745262"/>
        <bgColor rgb="FF38761D"/>
      </patternFill>
    </fill>
    <fill>
      <patternFill patternType="solid">
        <fgColor theme="7" tint="0.59999389629810485"/>
        <bgColor rgb="FFB6D7A8"/>
      </patternFill>
    </fill>
    <fill>
      <patternFill patternType="solid">
        <fgColor theme="7" tint="0.59999389629810485"/>
        <bgColor rgb="FFFFF2CC"/>
      </patternFill>
    </fill>
    <fill>
      <patternFill patternType="solid">
        <fgColor theme="7" tint="-0.249977111117893"/>
        <bgColor rgb="FFB6D7A8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249977111117893"/>
        <bgColor rgb="FFFFF2CC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5">
    <xf numFmtId="0" fontId="0" fillId="0" borderId="0" xfId="0"/>
    <xf numFmtId="44" fontId="0" fillId="0" borderId="0" xfId="2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3" fontId="5" fillId="4" borderId="4" xfId="0" applyNumberFormat="1" applyFont="1" applyFill="1" applyBorder="1" applyAlignment="1">
      <alignment horizontal="center"/>
    </xf>
    <xf numFmtId="0" fontId="5" fillId="7" borderId="5" xfId="0" applyFont="1" applyFill="1" applyBorder="1"/>
    <xf numFmtId="3" fontId="5" fillId="7" borderId="6" xfId="0" applyNumberFormat="1" applyFont="1" applyFill="1" applyBorder="1" applyAlignment="1">
      <alignment horizontal="center"/>
    </xf>
    <xf numFmtId="3" fontId="5" fillId="7" borderId="7" xfId="0" applyNumberFormat="1" applyFont="1" applyFill="1" applyBorder="1" applyAlignment="1">
      <alignment horizontal="center"/>
    </xf>
    <xf numFmtId="0" fontId="5" fillId="0" borderId="0" xfId="0" applyFont="1"/>
    <xf numFmtId="3" fontId="5" fillId="0" borderId="0" xfId="0" applyNumberFormat="1" applyFont="1" applyAlignment="1">
      <alignment horizontal="center"/>
    </xf>
    <xf numFmtId="0" fontId="6" fillId="0" borderId="0" xfId="0" applyFont="1"/>
    <xf numFmtId="9" fontId="7" fillId="0" borderId="0" xfId="0" applyNumberFormat="1" applyFont="1" applyAlignment="1">
      <alignment horizontal="center"/>
    </xf>
    <xf numFmtId="0" fontId="5" fillId="3" borderId="1" xfId="0" applyFont="1" applyFill="1" applyBorder="1"/>
    <xf numFmtId="165" fontId="5" fillId="8" borderId="1" xfId="1" applyNumberFormat="1" applyFont="1" applyFill="1" applyBorder="1" applyAlignment="1">
      <alignment horizontal="center"/>
    </xf>
    <xf numFmtId="0" fontId="5" fillId="9" borderId="3" xfId="0" applyFont="1" applyFill="1" applyBorder="1"/>
    <xf numFmtId="3" fontId="5" fillId="9" borderId="3" xfId="0" applyNumberFormat="1" applyFont="1" applyFill="1" applyBorder="1" applyAlignment="1">
      <alignment horizontal="center"/>
    </xf>
    <xf numFmtId="9" fontId="8" fillId="0" borderId="0" xfId="0" applyNumberFormat="1" applyFont="1" applyAlignment="1">
      <alignment horizontal="center"/>
    </xf>
    <xf numFmtId="9" fontId="6" fillId="0" borderId="0" xfId="3" applyFont="1" applyAlignment="1">
      <alignment horizontal="center"/>
    </xf>
    <xf numFmtId="9" fontId="6" fillId="6" borderId="0" xfId="3" applyFont="1" applyFill="1" applyAlignment="1">
      <alignment horizontal="center"/>
    </xf>
    <xf numFmtId="3" fontId="5" fillId="3" borderId="1" xfId="0" applyNumberFormat="1" applyFont="1" applyFill="1" applyBorder="1" applyAlignment="1">
      <alignment horizontal="center"/>
    </xf>
    <xf numFmtId="3" fontId="5" fillId="4" borderId="1" xfId="0" applyNumberFormat="1" applyFont="1" applyFill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5" fillId="5" borderId="1" xfId="0" applyFont="1" applyFill="1" applyBorder="1"/>
    <xf numFmtId="3" fontId="5" fillId="5" borderId="1" xfId="0" applyNumberFormat="1" applyFont="1" applyFill="1" applyBorder="1" applyAlignment="1">
      <alignment horizontal="center"/>
    </xf>
    <xf numFmtId="0" fontId="0" fillId="11" borderId="11" xfId="0" applyFill="1" applyBorder="1" applyAlignment="1">
      <alignment horizontal="center"/>
    </xf>
    <xf numFmtId="0" fontId="5" fillId="5" borderId="14" xfId="0" applyFont="1" applyFill="1" applyBorder="1"/>
    <xf numFmtId="3" fontId="5" fillId="5" borderId="2" xfId="0" applyNumberFormat="1" applyFont="1" applyFill="1" applyBorder="1" applyAlignment="1">
      <alignment horizontal="center"/>
    </xf>
    <xf numFmtId="3" fontId="5" fillId="4" borderId="15" xfId="0" applyNumberFormat="1" applyFont="1" applyFill="1" applyBorder="1" applyAlignment="1">
      <alignment horizontal="center"/>
    </xf>
    <xf numFmtId="0" fontId="0" fillId="0" borderId="1" xfId="0" applyBorder="1"/>
    <xf numFmtId="3" fontId="6" fillId="6" borderId="1" xfId="0" applyNumberFormat="1" applyFont="1" applyFill="1" applyBorder="1" applyAlignment="1">
      <alignment horizontal="center"/>
    </xf>
    <xf numFmtId="0" fontId="9" fillId="0" borderId="1" xfId="0" applyFont="1" applyBorder="1"/>
    <xf numFmtId="0" fontId="10" fillId="0" borderId="0" xfId="0" applyFont="1" applyAlignment="1">
      <alignment horizontal="right"/>
    </xf>
    <xf numFmtId="3" fontId="6" fillId="0" borderId="0" xfId="0" applyNumberFormat="1" applyFont="1" applyAlignment="1">
      <alignment horizontal="center"/>
    </xf>
    <xf numFmtId="3" fontId="6" fillId="5" borderId="1" xfId="0" applyNumberFormat="1" applyFont="1" applyFill="1" applyBorder="1" applyAlignment="1">
      <alignment horizontal="center"/>
    </xf>
    <xf numFmtId="0" fontId="5" fillId="7" borderId="1" xfId="0" applyFont="1" applyFill="1" applyBorder="1"/>
    <xf numFmtId="3" fontId="5" fillId="7" borderId="1" xfId="0" applyNumberFormat="1" applyFont="1" applyFill="1" applyBorder="1" applyAlignment="1">
      <alignment horizontal="center"/>
    </xf>
    <xf numFmtId="0" fontId="12" fillId="10" borderId="8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/>
    </xf>
    <xf numFmtId="0" fontId="5" fillId="14" borderId="1" xfId="0" applyFont="1" applyFill="1" applyBorder="1"/>
    <xf numFmtId="3" fontId="5" fillId="14" borderId="1" xfId="0" applyNumberFormat="1" applyFont="1" applyFill="1" applyBorder="1" applyAlignment="1">
      <alignment horizontal="center"/>
    </xf>
    <xf numFmtId="3" fontId="5" fillId="15" borderId="1" xfId="0" applyNumberFormat="1" applyFont="1" applyFill="1" applyBorder="1" applyAlignment="1">
      <alignment horizontal="center"/>
    </xf>
    <xf numFmtId="0" fontId="5" fillId="14" borderId="14" xfId="0" applyFont="1" applyFill="1" applyBorder="1"/>
    <xf numFmtId="3" fontId="5" fillId="14" borderId="2" xfId="0" applyNumberFormat="1" applyFont="1" applyFill="1" applyBorder="1" applyAlignment="1">
      <alignment horizontal="center"/>
    </xf>
    <xf numFmtId="3" fontId="6" fillId="14" borderId="1" xfId="0" applyNumberFormat="1" applyFont="1" applyFill="1" applyBorder="1" applyAlignment="1">
      <alignment horizontal="center"/>
    </xf>
    <xf numFmtId="0" fontId="5" fillId="16" borderId="1" xfId="0" applyFont="1" applyFill="1" applyBorder="1"/>
    <xf numFmtId="165" fontId="5" fillId="17" borderId="1" xfId="1" applyNumberFormat="1" applyFont="1" applyFill="1" applyBorder="1" applyAlignment="1">
      <alignment horizontal="center"/>
    </xf>
    <xf numFmtId="3" fontId="5" fillId="18" borderId="4" xfId="0" applyNumberFormat="1" applyFont="1" applyFill="1" applyBorder="1" applyAlignment="1">
      <alignment horizontal="center"/>
    </xf>
    <xf numFmtId="0" fontId="4" fillId="19" borderId="2" xfId="0" applyFont="1" applyFill="1" applyBorder="1" applyAlignment="1">
      <alignment horizontal="center"/>
    </xf>
    <xf numFmtId="0" fontId="5" fillId="20" borderId="1" xfId="0" applyFont="1" applyFill="1" applyBorder="1"/>
    <xf numFmtId="3" fontId="5" fillId="20" borderId="1" xfId="0" applyNumberFormat="1" applyFont="1" applyFill="1" applyBorder="1" applyAlignment="1">
      <alignment horizontal="center"/>
    </xf>
    <xf numFmtId="3" fontId="5" fillId="21" borderId="1" xfId="0" applyNumberFormat="1" applyFont="1" applyFill="1" applyBorder="1" applyAlignment="1">
      <alignment horizontal="center"/>
    </xf>
    <xf numFmtId="0" fontId="5" fillId="20" borderId="14" xfId="0" applyFont="1" applyFill="1" applyBorder="1"/>
    <xf numFmtId="3" fontId="5" fillId="20" borderId="2" xfId="0" applyNumberFormat="1" applyFont="1" applyFill="1" applyBorder="1" applyAlignment="1">
      <alignment horizontal="center"/>
    </xf>
    <xf numFmtId="3" fontId="5" fillId="21" borderId="15" xfId="0" applyNumberFormat="1" applyFont="1" applyFill="1" applyBorder="1" applyAlignment="1">
      <alignment horizontal="center"/>
    </xf>
    <xf numFmtId="3" fontId="6" fillId="20" borderId="1" xfId="0" applyNumberFormat="1" applyFont="1" applyFill="1" applyBorder="1" applyAlignment="1">
      <alignment horizontal="center"/>
    </xf>
    <xf numFmtId="0" fontId="5" fillId="22" borderId="1" xfId="0" applyFont="1" applyFill="1" applyBorder="1"/>
    <xf numFmtId="165" fontId="5" fillId="23" borderId="1" xfId="1" applyNumberFormat="1" applyFont="1" applyFill="1" applyBorder="1" applyAlignment="1">
      <alignment horizontal="center"/>
    </xf>
    <xf numFmtId="3" fontId="5" fillId="24" borderId="4" xfId="0" applyNumberFormat="1" applyFont="1" applyFill="1" applyBorder="1" applyAlignment="1">
      <alignment horizontal="center"/>
    </xf>
    <xf numFmtId="3" fontId="0" fillId="0" borderId="0" xfId="0" applyNumberFormat="1"/>
    <xf numFmtId="0" fontId="2" fillId="10" borderId="16" xfId="0" applyFont="1" applyFill="1" applyBorder="1" applyAlignment="1">
      <alignment horizontal="center"/>
    </xf>
    <xf numFmtId="44" fontId="0" fillId="0" borderId="8" xfId="2" applyFont="1" applyBorder="1" applyAlignment="1">
      <alignment horizontal="center"/>
    </xf>
    <xf numFmtId="0" fontId="0" fillId="11" borderId="17" xfId="0" applyFill="1" applyBorder="1" applyAlignment="1">
      <alignment horizontal="center"/>
    </xf>
    <xf numFmtId="9" fontId="0" fillId="0" borderId="13" xfId="3" applyFont="1" applyBorder="1"/>
    <xf numFmtId="9" fontId="0" fillId="0" borderId="19" xfId="3" applyFont="1" applyBorder="1"/>
    <xf numFmtId="0" fontId="0" fillId="11" borderId="12" xfId="0" applyFill="1" applyBorder="1" applyAlignment="1">
      <alignment horizontal="center"/>
    </xf>
    <xf numFmtId="166" fontId="0" fillId="0" borderId="8" xfId="2" applyNumberFormat="1" applyFont="1" applyBorder="1" applyAlignment="1">
      <alignment horizontal="center"/>
    </xf>
    <xf numFmtId="166" fontId="0" fillId="0" borderId="13" xfId="2" applyNumberFormat="1" applyFont="1" applyBorder="1"/>
    <xf numFmtId="166" fontId="0" fillId="0" borderId="0" xfId="2" applyNumberFormat="1" applyFont="1"/>
    <xf numFmtId="166" fontId="0" fillId="0" borderId="19" xfId="2" applyNumberFormat="1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8" fillId="25" borderId="0" xfId="0" applyFont="1" applyFill="1"/>
    <xf numFmtId="0" fontId="19" fillId="25" borderId="0" xfId="0" applyFont="1" applyFill="1"/>
    <xf numFmtId="0" fontId="18" fillId="0" borderId="0" xfId="0" applyFont="1"/>
    <xf numFmtId="17" fontId="18" fillId="25" borderId="0" xfId="0" applyNumberFormat="1" applyFont="1" applyFill="1"/>
    <xf numFmtId="167" fontId="0" fillId="0" borderId="0" xfId="0" applyNumberFormat="1"/>
    <xf numFmtId="167" fontId="6" fillId="0" borderId="0" xfId="0" applyNumberFormat="1" applyFont="1"/>
    <xf numFmtId="0" fontId="6" fillId="0" borderId="1" xfId="0" applyFont="1" applyBorder="1"/>
    <xf numFmtId="167" fontId="0" fillId="0" borderId="1" xfId="0" applyNumberFormat="1" applyBorder="1"/>
    <xf numFmtId="0" fontId="6" fillId="26" borderId="1" xfId="0" applyFont="1" applyFill="1" applyBorder="1"/>
    <xf numFmtId="167" fontId="6" fillId="26" borderId="1" xfId="0" applyNumberFormat="1" applyFont="1" applyFill="1" applyBorder="1" applyAlignment="1">
      <alignment horizontal="center"/>
    </xf>
    <xf numFmtId="167" fontId="6" fillId="26" borderId="0" xfId="0" applyNumberFormat="1" applyFont="1" applyFill="1" applyAlignment="1">
      <alignment horizontal="center"/>
    </xf>
    <xf numFmtId="0" fontId="6" fillId="28" borderId="1" xfId="0" applyFont="1" applyFill="1" applyBorder="1"/>
    <xf numFmtId="0" fontId="4" fillId="19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3" fontId="6" fillId="29" borderId="1" xfId="0" applyNumberFormat="1" applyFont="1" applyFill="1" applyBorder="1" applyAlignment="1">
      <alignment horizontal="center"/>
    </xf>
    <xf numFmtId="3" fontId="6" fillId="0" borderId="1" xfId="0" applyNumberFormat="1" applyFont="1" applyFill="1" applyBorder="1" applyAlignment="1">
      <alignment horizontal="center"/>
    </xf>
    <xf numFmtId="0" fontId="5" fillId="28" borderId="0" xfId="0" applyFont="1" applyFill="1"/>
    <xf numFmtId="169" fontId="6" fillId="0" borderId="1" xfId="0" applyNumberFormat="1" applyFont="1" applyBorder="1"/>
    <xf numFmtId="169" fontId="0" fillId="0" borderId="1" xfId="0" applyNumberFormat="1" applyBorder="1"/>
    <xf numFmtId="167" fontId="0" fillId="28" borderId="1" xfId="0" applyNumberFormat="1" applyFill="1" applyBorder="1"/>
    <xf numFmtId="0" fontId="0" fillId="0" borderId="1" xfId="0" applyFill="1" applyBorder="1"/>
    <xf numFmtId="0" fontId="0" fillId="0" borderId="0" xfId="0" applyBorder="1" applyAlignment="1">
      <alignment horizontal="center"/>
    </xf>
    <xf numFmtId="0" fontId="0" fillId="0" borderId="0" xfId="0" applyFill="1"/>
    <xf numFmtId="0" fontId="5" fillId="0" borderId="1" xfId="0" applyFont="1" applyFill="1" applyBorder="1"/>
    <xf numFmtId="3" fontId="5" fillId="0" borderId="1" xfId="0" applyNumberFormat="1" applyFont="1" applyFill="1" applyBorder="1" applyAlignment="1">
      <alignment horizontal="center"/>
    </xf>
    <xf numFmtId="0" fontId="13" fillId="12" borderId="0" xfId="0" applyFont="1" applyFill="1" applyAlignment="1">
      <alignment horizontal="center" vertical="center"/>
    </xf>
    <xf numFmtId="0" fontId="11" fillId="11" borderId="9" xfId="0" applyFont="1" applyFill="1" applyBorder="1" applyAlignment="1">
      <alignment horizontal="center" vertical="center" wrapText="1"/>
    </xf>
    <xf numFmtId="0" fontId="11" fillId="11" borderId="18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66" fontId="15" fillId="0" borderId="0" xfId="2" applyNumberFormat="1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7" fillId="27" borderId="20" xfId="0" applyFont="1" applyFill="1" applyBorder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Indicadores Mes</a:t>
            </a:r>
          </a:p>
        </c:rich>
      </c:tx>
      <c:layout>
        <c:manualLayout>
          <c:xMode val="edge"/>
          <c:yMode val="edge"/>
          <c:x val="0.30934388944937813"/>
          <c:y val="3.636363636363636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'Análisis Datos'!$F$10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Abril</c:v>
                </c:pt>
              </c:strCache>
            </c:strRef>
          </c:cat>
          <c:val>
            <c:numRef>
              <c:f>'Análisis Datos'!$G$10</c:f>
              <c:numCache>
                <c:formatCode>_-* #,##0\ "€"_-;\-* #,##0\ "€"_-;_-* "-"??\ "€"_-;_-@_-</c:formatCode>
                <c:ptCount val="1"/>
                <c:pt idx="0">
                  <c:v>11400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6C-4459-8583-417C034F082D}"/>
            </c:ext>
          </c:extLst>
        </c:ser>
        <c:ser>
          <c:idx val="1"/>
          <c:order val="1"/>
          <c:tx>
            <c:strRef>
              <c:f>'Análisis Datos'!$F$12</c:f>
              <c:strCache>
                <c:ptCount val="1"/>
                <c:pt idx="0">
                  <c:v>Coste personal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Abril</c:v>
                </c:pt>
              </c:strCache>
            </c:strRef>
          </c:cat>
          <c:val>
            <c:numRef>
              <c:f>'Análisis Datos'!$G$12</c:f>
              <c:numCache>
                <c:formatCode>_-* #,##0\ "€"_-;\-* #,##0\ "€"_-;_-* "-"??\ "€"_-;_-@_-</c:formatCode>
                <c:ptCount val="1"/>
                <c:pt idx="0">
                  <c:v>5950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6C-4459-8583-417C034F082D}"/>
            </c:ext>
          </c:extLst>
        </c:ser>
        <c:ser>
          <c:idx val="2"/>
          <c:order val="2"/>
          <c:tx>
            <c:strRef>
              <c:f>'Análisis Datos'!$F$14</c:f>
              <c:strCache>
                <c:ptCount val="1"/>
                <c:pt idx="0">
                  <c:v>Gastos Indirectos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Abril</c:v>
                </c:pt>
              </c:strCache>
            </c:strRef>
          </c:cat>
          <c:val>
            <c:numRef>
              <c:f>'Análisis Datos'!$G$14</c:f>
              <c:numCache>
                <c:formatCode>_-* #,##0\ "€"_-;\-* #,##0\ "€"_-;_-* "-"??\ "€"_-;_-@_-</c:formatCode>
                <c:ptCount val="1"/>
                <c:pt idx="0">
                  <c:v>2589.1966666666667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6C-4459-8583-417C034F082D}"/>
            </c:ext>
          </c:extLst>
        </c:ser>
        <c:ser>
          <c:idx val="3"/>
          <c:order val="3"/>
          <c:tx>
            <c:strRef>
              <c:f>'Análisis Datos'!$F$16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Abril</c:v>
                </c:pt>
              </c:strCache>
            </c:strRef>
          </c:cat>
          <c:val>
            <c:numRef>
              <c:f>'Análisis Datos'!$G$16</c:f>
              <c:numCache>
                <c:formatCode>_-* #,##0\ "€"_-;\-* #,##0\ "€"_-;_-* "-"??\ "€"_-;_-@_-</c:formatCode>
                <c:ptCount val="1"/>
                <c:pt idx="0">
                  <c:v>-1501.4966666666669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D6C-4459-8583-417C034F082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98397712"/>
        <c:axId val="98398368"/>
      </c:barChart>
      <c:catAx>
        <c:axId val="9839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8398368"/>
        <c:crosses val="autoZero"/>
        <c:auto val="1"/>
        <c:lblAlgn val="ctr"/>
        <c:lblOffset val="100"/>
        <c:noMultiLvlLbl val="0"/>
      </c:catAx>
      <c:valAx>
        <c:axId val="983983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9839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Acumulados</a:t>
            </a:r>
          </a:p>
        </c:rich>
      </c:tx>
      <c:layout>
        <c:manualLayout>
          <c:xMode val="edge"/>
          <c:yMode val="edge"/>
          <c:x val="0.32243871778755501"/>
          <c:y val="5.470584156119302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'Análisis Datos'!$F$10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Datos'!$H$10</c:f>
              <c:numCache>
                <c:formatCode>_-* #,##0\ "€"_-;\-* #,##0\ "€"_-;_-* "-"??\ "€"_-;_-@_-</c:formatCode>
                <c:ptCount val="1"/>
                <c:pt idx="0">
                  <c:v>44300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F8-4CEB-8CDF-C78711E540CE}"/>
            </c:ext>
          </c:extLst>
        </c:ser>
        <c:ser>
          <c:idx val="1"/>
          <c:order val="1"/>
          <c:tx>
            <c:strRef>
              <c:f>'Análisis Datos'!$F$12</c:f>
              <c:strCache>
                <c:ptCount val="1"/>
                <c:pt idx="0">
                  <c:v>Coste personal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Datos'!$H$12</c:f>
              <c:numCache>
                <c:formatCode>_-* #,##0\ "€"_-;\-* #,##0\ "€"_-;_-* "-"??\ "€"_-;_-@_-</c:formatCode>
                <c:ptCount val="1"/>
                <c:pt idx="0">
                  <c:v>22468.46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F8-4CEB-8CDF-C78711E540CE}"/>
            </c:ext>
          </c:extLst>
        </c:ser>
        <c:ser>
          <c:idx val="2"/>
          <c:order val="2"/>
          <c:tx>
            <c:strRef>
              <c:f>'Análisis Datos'!$F$14</c:f>
              <c:strCache>
                <c:ptCount val="1"/>
                <c:pt idx="0">
                  <c:v>Gastos Indirectos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Datos'!$H$14</c:f>
              <c:numCache>
                <c:formatCode>_-* #,##0\ "€"_-;\-* #,##0\ "€"_-;_-* "-"??\ "€"_-;_-@_-</c:formatCode>
                <c:ptCount val="1"/>
                <c:pt idx="0">
                  <c:v>9825.3966666666674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F8-4CEB-8CDF-C78711E540CE}"/>
            </c:ext>
          </c:extLst>
        </c:ser>
        <c:ser>
          <c:idx val="3"/>
          <c:order val="3"/>
          <c:tx>
            <c:strRef>
              <c:f>'Análisis Datos'!$F$16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Datos'!$H$16</c:f>
              <c:numCache>
                <c:formatCode>_-* #,##0\ "€"_-;\-* #,##0\ "€"_-;_-* "-"??\ "€"_-;_-@_-</c:formatCode>
                <c:ptCount val="1"/>
                <c:pt idx="0">
                  <c:v>2111.9433333333327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F8-4CEB-8CDF-C78711E540C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98397712"/>
        <c:axId val="98398368"/>
      </c:barChart>
      <c:catAx>
        <c:axId val="9839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8398368"/>
        <c:crosses val="autoZero"/>
        <c:auto val="1"/>
        <c:lblAlgn val="ctr"/>
        <c:lblOffset val="100"/>
        <c:noMultiLvlLbl val="0"/>
      </c:catAx>
      <c:valAx>
        <c:axId val="983983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9839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Ingresos Vs Gastos 2019</a:t>
            </a:r>
          </a:p>
        </c:rich>
      </c:tx>
      <c:layout>
        <c:manualLayout>
          <c:xMode val="edge"/>
          <c:yMode val="edge"/>
          <c:x val="0.34694487236283145"/>
          <c:y val="1.643846708388620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1024348174054"/>
          <c:y val="6.0815493541455531E-2"/>
          <c:w val="0.86151855624026863"/>
          <c:h val="0.608187149777633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Resultados'!$P$3</c:f>
              <c:strCache>
                <c:ptCount val="1"/>
                <c:pt idx="0">
                  <c:v>Ingresos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Resultados'!$Q$3:$AB$3</c:f>
              <c:numCache>
                <c:formatCode>#,##0</c:formatCode>
                <c:ptCount val="12"/>
                <c:pt idx="0">
                  <c:v>10500</c:v>
                </c:pt>
                <c:pt idx="1">
                  <c:v>10800</c:v>
                </c:pt>
                <c:pt idx="2">
                  <c:v>11600</c:v>
                </c:pt>
                <c:pt idx="3">
                  <c:v>11400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4A-431E-AB45-BD8B11D2C3CC}"/>
            </c:ext>
          </c:extLst>
        </c:ser>
        <c:ser>
          <c:idx val="1"/>
          <c:order val="1"/>
          <c:tx>
            <c:strRef>
              <c:f>'Cta Resultados'!$P$22</c:f>
              <c:strCache>
                <c:ptCount val="1"/>
                <c:pt idx="0">
                  <c:v>Total Gastos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val>
            <c:numRef>
              <c:f>'Cta Resultados'!$Q$22:$AB$22</c:f>
              <c:numCache>
                <c:formatCode>_-* #,##0\ _€_-;\-* #,##0\ _€_-;_-* "-"??\ _€_-;_-@_-</c:formatCode>
                <c:ptCount val="12"/>
                <c:pt idx="0">
                  <c:v>7971.876666666667</c:v>
                </c:pt>
                <c:pt idx="1">
                  <c:v>8952.3366666666661</c:v>
                </c:pt>
                <c:pt idx="2">
                  <c:v>9541.4466666666667</c:v>
                </c:pt>
                <c:pt idx="3">
                  <c:v>9035.1966666666667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5C3-436E-8FED-5193C18AA3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575991840"/>
        <c:axId val="575994464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'Cta Resultados'!$P$31</c15:sqref>
                        </c15:formulaRef>
                      </c:ext>
                    </c:extLst>
                    <c:strCache>
                      <c:ptCount val="1"/>
                      <c:pt idx="0">
                        <c:v>Resultado Neto antes de I.S.</c:v>
                      </c:pt>
                    </c:strCache>
                  </c:strRef>
                </c:tx>
                <c:spPr>
                  <a:noFill/>
                  <a:ln w="9525" cap="flat" cmpd="sng" algn="ctr">
                    <a:solidFill>
                      <a:schemeClr val="accent3"/>
                    </a:solidFill>
                    <a:miter lim="800000"/>
                  </a:ln>
                  <a:effectLst>
                    <a:glow rad="63500">
                      <a:schemeClr val="accent3">
                        <a:satMod val="175000"/>
                        <a:alpha val="25000"/>
                      </a:schemeClr>
                    </a:glow>
                  </a:effectLst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'Cta Resultados'!$Q$31:$AB$31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-1327.1766666666672</c:v>
                      </c:pt>
                      <c:pt idx="1">
                        <c:v>2828.3633333333328</c:v>
                      </c:pt>
                      <c:pt idx="2">
                        <c:v>2112.253333333334</c:v>
                      </c:pt>
                      <c:pt idx="3">
                        <c:v>-1501.4966666666669</c:v>
                      </c:pt>
                      <c:pt idx="4">
                        <c:v>0</c:v>
                      </c:pt>
                      <c:pt idx="5">
                        <c:v>-1360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-1360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-1360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C-65C3-436E-8FED-5193C18AA3EA}"/>
                  </c:ext>
                </c:extLst>
              </c15:ser>
            </c15:filteredBarSeries>
          </c:ext>
        </c:extLst>
      </c:barChart>
      <c:catAx>
        <c:axId val="57599184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75994464"/>
        <c:crosses val="autoZero"/>
        <c:auto val="1"/>
        <c:lblAlgn val="ctr"/>
        <c:lblOffset val="100"/>
        <c:noMultiLvlLbl val="0"/>
      </c:catAx>
      <c:valAx>
        <c:axId val="57599446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75991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Desglose Gastos 2019</a:t>
            </a:r>
          </a:p>
        </c:rich>
      </c:tx>
      <c:layout>
        <c:manualLayout>
          <c:xMode val="edge"/>
          <c:yMode val="edge"/>
          <c:x val="0.2537685028214357"/>
          <c:y val="0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3.2528255080193295E-2"/>
          <c:y val="6.0150388889271614E-2"/>
          <c:w val="0.93972024421320621"/>
          <c:h val="0.603808290333914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Resultados'!$P$6</c:f>
              <c:strCache>
                <c:ptCount val="1"/>
                <c:pt idx="0">
                  <c:v>Compras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Resultados'!$Q$6:$AB$6</c:f>
              <c:numCache>
                <c:formatCode>#,##0</c:formatCode>
                <c:ptCount val="12"/>
                <c:pt idx="0">
                  <c:v>552</c:v>
                </c:pt>
                <c:pt idx="1">
                  <c:v>1543</c:v>
                </c:pt>
                <c:pt idx="2">
                  <c:v>616</c:v>
                </c:pt>
                <c:pt idx="3">
                  <c:v>496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F2-4A3A-AA96-6320194AB5CE}"/>
            </c:ext>
          </c:extLst>
        </c:ser>
        <c:ser>
          <c:idx val="1"/>
          <c:order val="1"/>
          <c:tx>
            <c:strRef>
              <c:f>'Cta Resultados'!$P$8</c:f>
              <c:strCache>
                <c:ptCount val="1"/>
                <c:pt idx="0">
                  <c:v>Coste Personal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Resultados'!$Q$8:$AB$8</c:f>
              <c:numCache>
                <c:formatCode>#,##0</c:formatCode>
                <c:ptCount val="12"/>
                <c:pt idx="0">
                  <c:v>5305.72</c:v>
                </c:pt>
                <c:pt idx="1">
                  <c:v>5418</c:v>
                </c:pt>
                <c:pt idx="2">
                  <c:v>5794.74</c:v>
                </c:pt>
                <c:pt idx="3">
                  <c:v>5950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F2-4A3A-AA96-6320194AB5CE}"/>
            </c:ext>
          </c:extLst>
        </c:ser>
        <c:ser>
          <c:idx val="2"/>
          <c:order val="2"/>
          <c:tx>
            <c:strRef>
              <c:f>'Cta Resultados'!$P$11</c:f>
              <c:strCache>
                <c:ptCount val="1"/>
                <c:pt idx="0">
                  <c:v>Gastos Indirectos</c:v>
                </c:pt>
              </c:strCache>
            </c:strRef>
          </c:tx>
          <c:spPr>
            <a:noFill/>
            <a:ln w="9525" cap="flat" cmpd="sng" algn="ctr">
              <a:solidFill>
                <a:schemeClr val="accent3"/>
              </a:solidFill>
              <a:miter lim="800000"/>
            </a:ln>
            <a:effectLst>
              <a:glow rad="63500">
                <a:schemeClr val="accent3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Resultados'!$Q$11:$AB$11</c:f>
              <c:numCache>
                <c:formatCode>#,##0</c:formatCode>
                <c:ptCount val="12"/>
                <c:pt idx="0">
                  <c:v>2114.1566666666668</c:v>
                </c:pt>
                <c:pt idx="1">
                  <c:v>1991.3366666666668</c:v>
                </c:pt>
                <c:pt idx="2">
                  <c:v>3130.7066666666665</c:v>
                </c:pt>
                <c:pt idx="3">
                  <c:v>2589.1966666666667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7F2-4A3A-AA96-6320194AB5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437848824"/>
        <c:axId val="437847512"/>
      </c:barChart>
      <c:catAx>
        <c:axId val="43784882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847512"/>
        <c:crosses val="autoZero"/>
        <c:auto val="1"/>
        <c:lblAlgn val="ctr"/>
        <c:lblOffset val="100"/>
        <c:noMultiLvlLbl val="0"/>
      </c:catAx>
      <c:valAx>
        <c:axId val="437847512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848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Resultado Neto 2019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'Cta Resultados'!$P$31</c:f>
              <c:strCache>
                <c:ptCount val="1"/>
                <c:pt idx="0">
                  <c:v>Resultado Neto antes de I.S.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Resultados'!$Q$31:$AB$31</c:f>
              <c:numCache>
                <c:formatCode>#,##0</c:formatCode>
                <c:ptCount val="12"/>
                <c:pt idx="0">
                  <c:v>-1327.1766666666672</c:v>
                </c:pt>
                <c:pt idx="1">
                  <c:v>2828.3633333333328</c:v>
                </c:pt>
                <c:pt idx="2">
                  <c:v>2112.253333333334</c:v>
                </c:pt>
                <c:pt idx="3">
                  <c:v>-1501.4966666666669</c:v>
                </c:pt>
                <c:pt idx="4">
                  <c:v>0</c:v>
                </c:pt>
                <c:pt idx="5">
                  <c:v>-1360</c:v>
                </c:pt>
                <c:pt idx="6">
                  <c:v>0</c:v>
                </c:pt>
                <c:pt idx="7">
                  <c:v>0</c:v>
                </c:pt>
                <c:pt idx="8">
                  <c:v>-1360</c:v>
                </c:pt>
                <c:pt idx="9">
                  <c:v>0</c:v>
                </c:pt>
                <c:pt idx="10">
                  <c:v>0</c:v>
                </c:pt>
                <c:pt idx="11">
                  <c:v>-1360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FC-42A0-A9EB-0A326DA6F8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1065664"/>
        <c:axId val="481072224"/>
      </c:lineChart>
      <c:catAx>
        <c:axId val="481065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072224"/>
        <c:crosses val="autoZero"/>
        <c:auto val="1"/>
        <c:lblAlgn val="ctr"/>
        <c:lblOffset val="100"/>
        <c:noMultiLvlLbl val="0"/>
      </c:catAx>
      <c:valAx>
        <c:axId val="48107222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065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 Ingresos 18-19 y BG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2018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Resultados'!$B$3:$M$3</c:f>
              <c:numCache>
                <c:formatCode>#,##0</c:formatCode>
                <c:ptCount val="12"/>
                <c:pt idx="0">
                  <c:v>9222.7800000000007</c:v>
                </c:pt>
                <c:pt idx="1">
                  <c:v>7190.76</c:v>
                </c:pt>
                <c:pt idx="2">
                  <c:v>10720.02</c:v>
                </c:pt>
                <c:pt idx="3">
                  <c:v>9953.1</c:v>
                </c:pt>
                <c:pt idx="4">
                  <c:v>9843.92</c:v>
                </c:pt>
                <c:pt idx="5">
                  <c:v>10254.66</c:v>
                </c:pt>
                <c:pt idx="6">
                  <c:v>9242.7999999999993</c:v>
                </c:pt>
                <c:pt idx="7">
                  <c:v>9222.6</c:v>
                </c:pt>
                <c:pt idx="8">
                  <c:v>9587.32</c:v>
                </c:pt>
                <c:pt idx="9">
                  <c:v>8947.08</c:v>
                </c:pt>
                <c:pt idx="10">
                  <c:v>9921.86</c:v>
                </c:pt>
                <c:pt idx="11">
                  <c:v>10039.24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B0-4EE0-B8FF-92056895A8AB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Resultados'!$Q$3:$AB$3</c:f>
              <c:numCache>
                <c:formatCode>#,##0</c:formatCode>
                <c:ptCount val="12"/>
                <c:pt idx="0">
                  <c:v>10500</c:v>
                </c:pt>
                <c:pt idx="1">
                  <c:v>10800</c:v>
                </c:pt>
                <c:pt idx="2">
                  <c:v>11600</c:v>
                </c:pt>
                <c:pt idx="3">
                  <c:v>11400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B0-4EE0-B8FF-92056895A8AB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2019 Budget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Resultados'!$AF$3:$AQ$3</c:f>
              <c:numCache>
                <c:formatCode>#,##0</c:formatCode>
                <c:ptCount val="12"/>
                <c:pt idx="0">
                  <c:v>10237.285800000001</c:v>
                </c:pt>
                <c:pt idx="1">
                  <c:v>8053.6512000000002</c:v>
                </c:pt>
                <c:pt idx="2">
                  <c:v>12006.422399999999</c:v>
                </c:pt>
                <c:pt idx="3">
                  <c:v>11247.003000000001</c:v>
                </c:pt>
                <c:pt idx="4">
                  <c:v>11123.6296</c:v>
                </c:pt>
                <c:pt idx="5">
                  <c:v>11792.859</c:v>
                </c:pt>
                <c:pt idx="6">
                  <c:v>10444.364</c:v>
                </c:pt>
                <c:pt idx="7">
                  <c:v>10144.86</c:v>
                </c:pt>
                <c:pt idx="8">
                  <c:v>10833.6716</c:v>
                </c:pt>
                <c:pt idx="9">
                  <c:v>9931.2587999999996</c:v>
                </c:pt>
                <c:pt idx="10">
                  <c:v>11211.701800000001</c:v>
                </c:pt>
                <c:pt idx="11">
                  <c:v>11143.556399999999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B0-4EE0-B8FF-92056895A8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 Gastos 18-19 y BG</a:t>
            </a:r>
          </a:p>
        </c:rich>
      </c:tx>
      <c:layout>
        <c:manualLayout>
          <c:xMode val="edge"/>
          <c:yMode val="edge"/>
          <c:x val="0.18320902991493668"/>
          <c:y val="2.70270270270270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2018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Resultados'!$B$22:$M$22</c:f>
              <c:numCache>
                <c:formatCode>_-* #,##0\ _€_-;\-* #,##0\ _€_-;_-* "-"??\ _€_-;_-@_-</c:formatCode>
                <c:ptCount val="12"/>
                <c:pt idx="0">
                  <c:v>6464.416666666667</c:v>
                </c:pt>
                <c:pt idx="1">
                  <c:v>5807.416666666667</c:v>
                </c:pt>
                <c:pt idx="2">
                  <c:v>7172.416666666667</c:v>
                </c:pt>
                <c:pt idx="3">
                  <c:v>7939.416666666667</c:v>
                </c:pt>
                <c:pt idx="4">
                  <c:v>7785.416666666667</c:v>
                </c:pt>
                <c:pt idx="5">
                  <c:v>7588.416666666667</c:v>
                </c:pt>
                <c:pt idx="6">
                  <c:v>8672.4166666666679</c:v>
                </c:pt>
                <c:pt idx="7">
                  <c:v>7402.416666666667</c:v>
                </c:pt>
                <c:pt idx="8">
                  <c:v>8003.416666666667</c:v>
                </c:pt>
                <c:pt idx="9">
                  <c:v>7959.416666666667</c:v>
                </c:pt>
                <c:pt idx="10">
                  <c:v>8103.416666666667</c:v>
                </c:pt>
                <c:pt idx="11">
                  <c:v>8520.4166666666679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78-4780-A5D3-C3E16A116860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Resultados'!$Q$22:$AB$22</c:f>
              <c:numCache>
                <c:formatCode>_-* #,##0\ _€_-;\-* #,##0\ _€_-;_-* "-"??\ _€_-;_-@_-</c:formatCode>
                <c:ptCount val="12"/>
                <c:pt idx="0">
                  <c:v>7971.876666666667</c:v>
                </c:pt>
                <c:pt idx="1">
                  <c:v>8952.3366666666661</c:v>
                </c:pt>
                <c:pt idx="2">
                  <c:v>9541.4466666666667</c:v>
                </c:pt>
                <c:pt idx="3">
                  <c:v>9035.1966666666667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78-4780-A5D3-C3E16A116860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2019 Budget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Resultados'!$AF$22:$AQ$22</c:f>
              <c:numCache>
                <c:formatCode>_-* #,##0\ _€_-;\-* #,##0\ _€_-;_-* "-"??\ _€_-;_-@_-</c:formatCode>
                <c:ptCount val="12"/>
                <c:pt idx="0">
                  <c:v>6681.713333333334</c:v>
                </c:pt>
                <c:pt idx="1">
                  <c:v>6053.769166666666</c:v>
                </c:pt>
                <c:pt idx="2">
                  <c:v>7382.7475000000004</c:v>
                </c:pt>
                <c:pt idx="3">
                  <c:v>8237.1875</c:v>
                </c:pt>
                <c:pt idx="4">
                  <c:v>8131.7875000000004</c:v>
                </c:pt>
                <c:pt idx="5">
                  <c:v>7815.439166666667</c:v>
                </c:pt>
                <c:pt idx="6">
                  <c:v>8933.8533333333326</c:v>
                </c:pt>
                <c:pt idx="7">
                  <c:v>7676.2091666666674</c:v>
                </c:pt>
                <c:pt idx="8">
                  <c:v>8235.2133333333331</c:v>
                </c:pt>
                <c:pt idx="9">
                  <c:v>8262.7191666666658</c:v>
                </c:pt>
                <c:pt idx="10">
                  <c:v>8462.373333333333</c:v>
                </c:pt>
                <c:pt idx="11">
                  <c:v>8764.4491666666654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78-4780-A5D3-C3E16A1168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</a:t>
            </a:r>
            <a:r>
              <a:rPr lang="en-US" baseline="0"/>
              <a:t> Resultados 18-19 y BG</a:t>
            </a:r>
            <a:endParaRPr lang="en-US"/>
          </a:p>
        </c:rich>
      </c:tx>
      <c:layout>
        <c:manualLayout>
          <c:xMode val="edge"/>
          <c:yMode val="edge"/>
          <c:x val="0.10382094988040355"/>
          <c:y val="1.08737857427544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2018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Resultados'!$B$31:$M$31</c:f>
              <c:numCache>
                <c:formatCode>#,##0</c:formatCode>
                <c:ptCount val="12"/>
                <c:pt idx="0">
                  <c:v>-575.63666666666631</c:v>
                </c:pt>
                <c:pt idx="1">
                  <c:v>867.34333333333348</c:v>
                </c:pt>
                <c:pt idx="2">
                  <c:v>3606.6033333333335</c:v>
                </c:pt>
                <c:pt idx="3">
                  <c:v>-1332.3166666666666</c:v>
                </c:pt>
                <c:pt idx="4">
                  <c:v>2172.5033333333331</c:v>
                </c:pt>
                <c:pt idx="5">
                  <c:v>2666.2433333333329</c:v>
                </c:pt>
                <c:pt idx="6">
                  <c:v>-3703.6166666666677</c:v>
                </c:pt>
                <c:pt idx="7">
                  <c:v>1304.1833333333336</c:v>
                </c:pt>
                <c:pt idx="8">
                  <c:v>1677.9033333333327</c:v>
                </c:pt>
                <c:pt idx="9">
                  <c:v>-2718.336666666667</c:v>
                </c:pt>
                <c:pt idx="10">
                  <c:v>1880.4433333333336</c:v>
                </c:pt>
                <c:pt idx="11">
                  <c:v>1749.8233333333328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69-48B8-887A-3213367DA946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Resultados'!$Q$31:$AB$31</c:f>
              <c:numCache>
                <c:formatCode>#,##0</c:formatCode>
                <c:ptCount val="12"/>
                <c:pt idx="0">
                  <c:v>-1327.1766666666672</c:v>
                </c:pt>
                <c:pt idx="1">
                  <c:v>2828.3633333333328</c:v>
                </c:pt>
                <c:pt idx="2">
                  <c:v>2112.253333333334</c:v>
                </c:pt>
                <c:pt idx="3">
                  <c:v>-1501.4966666666669</c:v>
                </c:pt>
                <c:pt idx="4">
                  <c:v>0</c:v>
                </c:pt>
                <c:pt idx="5">
                  <c:v>-1360</c:v>
                </c:pt>
                <c:pt idx="6">
                  <c:v>0</c:v>
                </c:pt>
                <c:pt idx="7">
                  <c:v>0</c:v>
                </c:pt>
                <c:pt idx="8">
                  <c:v>-1360</c:v>
                </c:pt>
                <c:pt idx="9">
                  <c:v>0</c:v>
                </c:pt>
                <c:pt idx="10">
                  <c:v>0</c:v>
                </c:pt>
                <c:pt idx="11">
                  <c:v>-1360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69-48B8-887A-3213367DA946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2019 Budget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Resultados'!$AF$31:$AQ$31</c:f>
              <c:numCache>
                <c:formatCode>#,##0</c:formatCode>
                <c:ptCount val="12"/>
                <c:pt idx="0">
                  <c:v>103.41246666666757</c:v>
                </c:pt>
                <c:pt idx="1">
                  <c:v>1485.2620333333339</c:v>
                </c:pt>
                <c:pt idx="2">
                  <c:v>4701.3048999999992</c:v>
                </c:pt>
                <c:pt idx="3">
                  <c:v>-475.38449999999921</c:v>
                </c:pt>
                <c:pt idx="4">
                  <c:v>3132.8820999999998</c:v>
                </c:pt>
                <c:pt idx="5">
                  <c:v>3999.8998333333329</c:v>
                </c:pt>
                <c:pt idx="6">
                  <c:v>-2956.8493333333331</c:v>
                </c:pt>
                <c:pt idx="7">
                  <c:v>1954.4908333333337</c:v>
                </c:pt>
                <c:pt idx="8">
                  <c:v>2712.1382666666659</c:v>
                </c:pt>
                <c:pt idx="9">
                  <c:v>-2122.660366666667</c:v>
                </c:pt>
                <c:pt idx="10">
                  <c:v>2836.2884666666678</c:v>
                </c:pt>
                <c:pt idx="11">
                  <c:v>2633.8972333333331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D69-48B8-887A-3213367DA9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13" Type="http://schemas.openxmlformats.org/officeDocument/2006/relationships/image" Target="../media/image6.png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image" Target="../media/image5.png"/><Relationship Id="rId2" Type="http://schemas.openxmlformats.org/officeDocument/2006/relationships/chart" Target="../charts/chart2.xml"/><Relationship Id="rId16" Type="http://schemas.openxmlformats.org/officeDocument/2006/relationships/image" Target="../media/image8.png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image" Target="../media/image4.png"/><Relationship Id="rId5" Type="http://schemas.openxmlformats.org/officeDocument/2006/relationships/chart" Target="../charts/chart5.xml"/><Relationship Id="rId15" Type="http://schemas.openxmlformats.org/officeDocument/2006/relationships/image" Target="../media/image7.png"/><Relationship Id="rId10" Type="http://schemas.openxmlformats.org/officeDocument/2006/relationships/image" Target="../media/image3.png"/><Relationship Id="rId4" Type="http://schemas.openxmlformats.org/officeDocument/2006/relationships/chart" Target="../charts/chart4.xml"/><Relationship Id="rId9" Type="http://schemas.openxmlformats.org/officeDocument/2006/relationships/image" Target="../media/image2.png"/><Relationship Id="rId1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31752</xdr:colOff>
      <xdr:row>4</xdr:row>
      <xdr:rowOff>12700</xdr:rowOff>
    </xdr:from>
    <xdr:to>
      <xdr:col>4</xdr:col>
      <xdr:colOff>296334</xdr:colOff>
      <xdr:row>15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96384</xdr:colOff>
      <xdr:row>4</xdr:row>
      <xdr:rowOff>68035</xdr:rowOff>
    </xdr:from>
    <xdr:to>
      <xdr:col>22</xdr:col>
      <xdr:colOff>295615</xdr:colOff>
      <xdr:row>16</xdr:row>
      <xdr:rowOff>31750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60324</xdr:colOff>
      <xdr:row>17</xdr:row>
      <xdr:rowOff>158750</xdr:rowOff>
    </xdr:from>
    <xdr:to>
      <xdr:col>5</xdr:col>
      <xdr:colOff>804334</xdr:colOff>
      <xdr:row>30</xdr:row>
      <xdr:rowOff>32736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246062</xdr:colOff>
      <xdr:row>17</xdr:row>
      <xdr:rowOff>177800</xdr:rowOff>
    </xdr:from>
    <xdr:to>
      <xdr:col>22</xdr:col>
      <xdr:colOff>243417</xdr:colOff>
      <xdr:row>30</xdr:row>
      <xdr:rowOff>17270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170089</xdr:colOff>
      <xdr:row>17</xdr:row>
      <xdr:rowOff>171223</xdr:rowOff>
    </xdr:from>
    <xdr:to>
      <xdr:col>14</xdr:col>
      <xdr:colOff>486833</xdr:colOff>
      <xdr:row>30</xdr:row>
      <xdr:rowOff>42333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63500</xdr:colOff>
      <xdr:row>5</xdr:row>
      <xdr:rowOff>111126</xdr:rowOff>
    </xdr:from>
    <xdr:to>
      <xdr:col>7</xdr:col>
      <xdr:colOff>674688</xdr:colOff>
      <xdr:row>7</xdr:row>
      <xdr:rowOff>79376</xdr:rowOff>
    </xdr:to>
    <xdr:sp macro="" textlink="$G$10">
      <xdr:nvSpPr>
        <xdr:cNvPr id="7" name="Rectángulo: esquinas redondeadas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722688" y="1238251"/>
          <a:ext cx="2349500" cy="523875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ED160CBF-B789-4F73-8722-AB70C1CD9DA6}" type="TxLink">
            <a:rPr lang="en-US" sz="3200" b="1" i="0" u="none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alibri"/>
              <a:cs typeface="Calibri"/>
            </a:rPr>
            <a:pPr algn="ctr"/>
            <a:t> 11.400 € </a:t>
          </a:fld>
          <a:endParaRPr lang="es-ES" sz="32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14</xdr:col>
      <xdr:colOff>0</xdr:colOff>
      <xdr:row>5</xdr:row>
      <xdr:rowOff>127000</xdr:rowOff>
    </xdr:from>
    <xdr:to>
      <xdr:col>18</xdr:col>
      <xdr:colOff>7937</xdr:colOff>
      <xdr:row>7</xdr:row>
      <xdr:rowOff>95250</xdr:rowOff>
    </xdr:to>
    <xdr:sp macro="" textlink="$H$10">
      <xdr:nvSpPr>
        <xdr:cNvPr id="14" name="Rectángulo: esquinas redondeadas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8794750" y="1254125"/>
          <a:ext cx="2087562" cy="523875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9864C301-505C-463A-9E17-C3022EF98D1F}" type="TxLink">
            <a:rPr lang="en-US" sz="3200" b="1" i="0" u="none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alibri"/>
              <a:cs typeface="Calibri"/>
            </a:rPr>
            <a:pPr algn="ctr"/>
            <a:t> 44.300 € </a:t>
          </a:fld>
          <a:endParaRPr lang="es-ES" sz="32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0</xdr:col>
      <xdr:colOff>0</xdr:colOff>
      <xdr:row>32</xdr:row>
      <xdr:rowOff>1</xdr:rowOff>
    </xdr:from>
    <xdr:to>
      <xdr:col>5</xdr:col>
      <xdr:colOff>744010</xdr:colOff>
      <xdr:row>44</xdr:row>
      <xdr:rowOff>158751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158751</xdr:colOff>
      <xdr:row>32</xdr:row>
      <xdr:rowOff>15875</xdr:rowOff>
    </xdr:from>
    <xdr:to>
      <xdr:col>14</xdr:col>
      <xdr:colOff>489395</xdr:colOff>
      <xdr:row>44</xdr:row>
      <xdr:rowOff>174625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670983</xdr:colOff>
      <xdr:row>3</xdr:row>
      <xdr:rowOff>20274</xdr:rowOff>
    </xdr:from>
    <xdr:to>
      <xdr:col>4</xdr:col>
      <xdr:colOff>485608</xdr:colOff>
      <xdr:row>6</xdr:row>
      <xdr:rowOff>78316</xdr:rowOff>
    </xdr:to>
    <xdr:sp macro="" textlink="">
      <xdr:nvSpPr>
        <xdr:cNvPr id="24" name="Elips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956983" y="1131524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3</xdr:col>
      <xdr:colOff>734484</xdr:colOff>
      <xdr:row>3</xdr:row>
      <xdr:rowOff>42333</xdr:rowOff>
    </xdr:from>
    <xdr:to>
      <xdr:col>4</xdr:col>
      <xdr:colOff>474778</xdr:colOff>
      <xdr:row>6</xdr:row>
      <xdr:rowOff>18424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0484" y="1153583"/>
          <a:ext cx="498484" cy="498484"/>
        </a:xfrm>
        <a:prstGeom prst="rect">
          <a:avLst/>
        </a:prstGeom>
      </xdr:spPr>
    </xdr:pic>
    <xdr:clientData/>
  </xdr:twoCellAnchor>
  <xdr:twoCellAnchor>
    <xdr:from>
      <xdr:col>21</xdr:col>
      <xdr:colOff>664633</xdr:colOff>
      <xdr:row>3</xdr:row>
      <xdr:rowOff>45674</xdr:rowOff>
    </xdr:from>
    <xdr:to>
      <xdr:col>23</xdr:col>
      <xdr:colOff>3008</xdr:colOff>
      <xdr:row>6</xdr:row>
      <xdr:rowOff>103716</xdr:rowOff>
    </xdr:to>
    <xdr:sp macro="" textlink="">
      <xdr:nvSpPr>
        <xdr:cNvPr id="26" name="Elips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3819716" y="1156924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21</xdr:col>
      <xdr:colOff>728134</xdr:colOff>
      <xdr:row>3</xdr:row>
      <xdr:rowOff>67733</xdr:rowOff>
    </xdr:from>
    <xdr:to>
      <xdr:col>23</xdr:col>
      <xdr:colOff>855</xdr:colOff>
      <xdr:row>6</xdr:row>
      <xdr:rowOff>57159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83217" y="1178983"/>
          <a:ext cx="498484" cy="498484"/>
        </a:xfrm>
        <a:prstGeom prst="rect">
          <a:avLst/>
        </a:prstGeom>
      </xdr:spPr>
    </xdr:pic>
    <xdr:clientData/>
  </xdr:twoCellAnchor>
  <xdr:twoCellAnchor>
    <xdr:from>
      <xdr:col>5</xdr:col>
      <xdr:colOff>419100</xdr:colOff>
      <xdr:row>16</xdr:row>
      <xdr:rowOff>172674</xdr:rowOff>
    </xdr:from>
    <xdr:to>
      <xdr:col>5</xdr:col>
      <xdr:colOff>995725</xdr:colOff>
      <xdr:row>20</xdr:row>
      <xdr:rowOff>23283</xdr:rowOff>
    </xdr:to>
    <xdr:sp macro="" textlink="">
      <xdr:nvSpPr>
        <xdr:cNvPr id="28" name="Elips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4203700" y="3457741"/>
          <a:ext cx="576625" cy="59567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14</xdr:col>
      <xdr:colOff>143934</xdr:colOff>
      <xdr:row>16</xdr:row>
      <xdr:rowOff>159974</xdr:rowOff>
    </xdr:from>
    <xdr:to>
      <xdr:col>14</xdr:col>
      <xdr:colOff>728134</xdr:colOff>
      <xdr:row>20</xdr:row>
      <xdr:rowOff>16933</xdr:rowOff>
    </xdr:to>
    <xdr:sp macro="" textlink="">
      <xdr:nvSpPr>
        <xdr:cNvPr id="30" name="Elips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9084734" y="3445041"/>
          <a:ext cx="584200" cy="6020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21</xdr:col>
      <xdr:colOff>613833</xdr:colOff>
      <xdr:row>16</xdr:row>
      <xdr:rowOff>174791</xdr:rowOff>
    </xdr:from>
    <xdr:to>
      <xdr:col>22</xdr:col>
      <xdr:colOff>428458</xdr:colOff>
      <xdr:row>20</xdr:row>
      <xdr:rowOff>31750</xdr:rowOff>
    </xdr:to>
    <xdr:sp macro="" textlink="">
      <xdr:nvSpPr>
        <xdr:cNvPr id="31" name="Elips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3768916" y="3561458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5</xdr:col>
      <xdr:colOff>448734</xdr:colOff>
      <xdr:row>17</xdr:row>
      <xdr:rowOff>4234</xdr:rowOff>
    </xdr:from>
    <xdr:to>
      <xdr:col>5</xdr:col>
      <xdr:colOff>968307</xdr:colOff>
      <xdr:row>20</xdr:row>
      <xdr:rowOff>3741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3334" y="3475567"/>
          <a:ext cx="513858" cy="553863"/>
        </a:xfrm>
        <a:prstGeom prst="rect">
          <a:avLst/>
        </a:prstGeom>
      </xdr:spPr>
    </xdr:pic>
    <xdr:clientData/>
  </xdr:twoCellAnchor>
  <xdr:twoCellAnchor editAs="oneCell">
    <xdr:from>
      <xdr:col>21</xdr:col>
      <xdr:colOff>635000</xdr:colOff>
      <xdr:row>17</xdr:row>
      <xdr:rowOff>31751</xdr:rowOff>
    </xdr:from>
    <xdr:to>
      <xdr:col>22</xdr:col>
      <xdr:colOff>402097</xdr:colOff>
      <xdr:row>20</xdr:row>
      <xdr:rowOff>21099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90083" y="3598334"/>
          <a:ext cx="525288" cy="525288"/>
        </a:xfrm>
        <a:prstGeom prst="rect">
          <a:avLst/>
        </a:prstGeom>
      </xdr:spPr>
    </xdr:pic>
    <xdr:clientData/>
  </xdr:twoCellAnchor>
  <xdr:twoCellAnchor>
    <xdr:from>
      <xdr:col>5</xdr:col>
      <xdr:colOff>391583</xdr:colOff>
      <xdr:row>31</xdr:row>
      <xdr:rowOff>0</xdr:rowOff>
    </xdr:from>
    <xdr:to>
      <xdr:col>5</xdr:col>
      <xdr:colOff>968208</xdr:colOff>
      <xdr:row>34</xdr:row>
      <xdr:rowOff>36875</xdr:rowOff>
    </xdr:to>
    <xdr:sp macro="" textlink="">
      <xdr:nvSpPr>
        <xdr:cNvPr id="41" name="Elips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4053416" y="6085417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14</xdr:col>
      <xdr:colOff>126999</xdr:colOff>
      <xdr:row>31</xdr:row>
      <xdr:rowOff>10583</xdr:rowOff>
    </xdr:from>
    <xdr:to>
      <xdr:col>14</xdr:col>
      <xdr:colOff>707572</xdr:colOff>
      <xdr:row>34</xdr:row>
      <xdr:rowOff>47458</xdr:rowOff>
    </xdr:to>
    <xdr:sp macro="" textlink="">
      <xdr:nvSpPr>
        <xdr:cNvPr id="42" name="Elips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8987970" y="6084812"/>
          <a:ext cx="580573" cy="592046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5</xdr:col>
      <xdr:colOff>412750</xdr:colOff>
      <xdr:row>31</xdr:row>
      <xdr:rowOff>31749</xdr:rowOff>
    </xdr:from>
    <xdr:to>
      <xdr:col>5</xdr:col>
      <xdr:colOff>931264</xdr:colOff>
      <xdr:row>34</xdr:row>
      <xdr:rowOff>20038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4583" y="6117166"/>
          <a:ext cx="514704" cy="514704"/>
        </a:xfrm>
        <a:prstGeom prst="rect">
          <a:avLst/>
        </a:prstGeom>
      </xdr:spPr>
    </xdr:pic>
    <xdr:clientData/>
  </xdr:twoCellAnchor>
  <xdr:twoCellAnchor editAs="oneCell">
    <xdr:from>
      <xdr:col>14</xdr:col>
      <xdr:colOff>179915</xdr:colOff>
      <xdr:row>31</xdr:row>
      <xdr:rowOff>63498</xdr:rowOff>
    </xdr:from>
    <xdr:to>
      <xdr:col>14</xdr:col>
      <xdr:colOff>664277</xdr:colOff>
      <xdr:row>33</xdr:row>
      <xdr:rowOff>175086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74665" y="6148915"/>
          <a:ext cx="475231" cy="475231"/>
        </a:xfrm>
        <a:prstGeom prst="rect">
          <a:avLst/>
        </a:prstGeom>
      </xdr:spPr>
    </xdr:pic>
    <xdr:clientData/>
  </xdr:twoCellAnchor>
  <xdr:twoCellAnchor editAs="oneCell">
    <xdr:from>
      <xdr:col>14</xdr:col>
      <xdr:colOff>190499</xdr:colOff>
      <xdr:row>16</xdr:row>
      <xdr:rowOff>169332</xdr:rowOff>
    </xdr:from>
    <xdr:to>
      <xdr:col>14</xdr:col>
      <xdr:colOff>742367</xdr:colOff>
      <xdr:row>20</xdr:row>
      <xdr:rowOff>17168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5249" y="3555999"/>
          <a:ext cx="563692" cy="563692"/>
        </a:xfrm>
        <a:prstGeom prst="rect">
          <a:avLst/>
        </a:prstGeom>
      </xdr:spPr>
    </xdr:pic>
    <xdr:clientData/>
  </xdr:twoCellAnchor>
  <xdr:twoCellAnchor>
    <xdr:from>
      <xdr:col>15</xdr:col>
      <xdr:colOff>281215</xdr:colOff>
      <xdr:row>31</xdr:row>
      <xdr:rowOff>172359</xdr:rowOff>
    </xdr:from>
    <xdr:to>
      <xdr:col>22</xdr:col>
      <xdr:colOff>172511</xdr:colOff>
      <xdr:row>44</xdr:row>
      <xdr:rowOff>149680</xdr:rowOff>
    </xdr:to>
    <xdr:graphicFrame macro="">
      <xdr:nvGraphicFramePr>
        <xdr:cNvPr id="32" name="Gráfic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21</xdr:col>
      <xdr:colOff>582084</xdr:colOff>
      <xdr:row>30</xdr:row>
      <xdr:rowOff>172357</xdr:rowOff>
    </xdr:from>
    <xdr:to>
      <xdr:col>22</xdr:col>
      <xdr:colOff>396709</xdr:colOff>
      <xdr:row>34</xdr:row>
      <xdr:rowOff>27804</xdr:rowOff>
    </xdr:to>
    <xdr:sp macro="" textlink="">
      <xdr:nvSpPr>
        <xdr:cNvPr id="34" name="Elips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3799155" y="6005286"/>
          <a:ext cx="576625" cy="581161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21</xdr:col>
      <xdr:colOff>603251</xdr:colOff>
      <xdr:row>31</xdr:row>
      <xdr:rowOff>22678</xdr:rowOff>
    </xdr:from>
    <xdr:to>
      <xdr:col>22</xdr:col>
      <xdr:colOff>359764</xdr:colOff>
      <xdr:row>33</xdr:row>
      <xdr:rowOff>175251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0322" y="6037035"/>
          <a:ext cx="514704" cy="519240"/>
        </a:xfrm>
        <a:prstGeom prst="rect">
          <a:avLst/>
        </a:prstGeom>
      </xdr:spPr>
    </xdr:pic>
    <xdr:clientData/>
  </xdr:twoCellAnchor>
  <xdr:twoCellAnchor editAs="oneCell">
    <xdr:from>
      <xdr:col>19</xdr:col>
      <xdr:colOff>181429</xdr:colOff>
      <xdr:row>0</xdr:row>
      <xdr:rowOff>81643</xdr:rowOff>
    </xdr:from>
    <xdr:to>
      <xdr:col>20</xdr:col>
      <xdr:colOff>94524</xdr:colOff>
      <xdr:row>1</xdr:row>
      <xdr:rowOff>283573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74500" y="81643"/>
          <a:ext cx="671286" cy="671286"/>
        </a:xfrm>
        <a:prstGeom prst="rect">
          <a:avLst/>
        </a:prstGeom>
        <a:effectLst>
          <a:glow rad="63500">
            <a:schemeClr val="accent6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</xdr:col>
      <xdr:colOff>440285</xdr:colOff>
      <xdr:row>0</xdr:row>
      <xdr:rowOff>99786</xdr:rowOff>
    </xdr:from>
    <xdr:to>
      <xdr:col>3</xdr:col>
      <xdr:colOff>308428</xdr:colOff>
      <xdr:row>1</xdr:row>
      <xdr:rowOff>245333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4285" y="99786"/>
          <a:ext cx="630143" cy="630143"/>
        </a:xfrm>
        <a:prstGeom prst="rect">
          <a:avLst/>
        </a:prstGeom>
        <a:effectLst>
          <a:glow rad="63500">
            <a:schemeClr val="accent6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39C1F-7481-4AF9-B865-E521933F05E7}">
  <sheetPr codeName="Hoja1">
    <tabColor theme="9" tint="0.39997558519241921"/>
    <pageSetUpPr fitToPage="1"/>
  </sheetPr>
  <dimension ref="A1:W16"/>
  <sheetViews>
    <sheetView showGridLines="0" tabSelected="1" zoomScale="80" zoomScaleNormal="80" workbookViewId="0">
      <selection activeCell="K7" sqref="K7:M7"/>
    </sheetView>
  </sheetViews>
  <sheetFormatPr baseColWidth="10" defaultRowHeight="15" x14ac:dyDescent="0.25"/>
  <cols>
    <col min="5" max="5" width="8.7109375" customWidth="1"/>
    <col min="6" max="6" width="16.28515625" customWidth="1"/>
    <col min="7" max="7" width="10" bestFit="1" customWidth="1"/>
    <col min="8" max="8" width="10.28515625" bestFit="1" customWidth="1"/>
    <col min="9" max="9" width="2.7109375" customWidth="1"/>
    <col min="10" max="10" width="10" bestFit="1" customWidth="1"/>
    <col min="11" max="11" width="6.28515625" bestFit="1" customWidth="1"/>
    <col min="12" max="12" width="10.5703125" bestFit="1" customWidth="1"/>
    <col min="13" max="13" width="6.85546875" bestFit="1" customWidth="1"/>
    <col min="14" max="14" width="3" customWidth="1"/>
    <col min="15" max="15" width="12.7109375" bestFit="1" customWidth="1"/>
    <col min="16" max="16" width="7.5703125" bestFit="1" customWidth="1"/>
    <col min="17" max="17" width="10" bestFit="1" customWidth="1"/>
    <col min="18" max="18" width="7.140625" customWidth="1"/>
    <col min="23" max="23" width="6.7109375" customWidth="1"/>
  </cols>
  <sheetData>
    <row r="1" spans="1:23" ht="37.5" customHeight="1" x14ac:dyDescent="0.25">
      <c r="A1" s="96" t="s">
        <v>119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</row>
    <row r="2" spans="1:23" ht="25.15" customHeight="1" x14ac:dyDescent="0.25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</row>
    <row r="3" spans="1:23" ht="16.899999999999999" customHeight="1" x14ac:dyDescent="0.25"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1:23" ht="12" customHeight="1" x14ac:dyDescent="0.25"/>
    <row r="5" spans="1:23" ht="14.65" customHeight="1" x14ac:dyDescent="0.25">
      <c r="F5" s="102" t="str">
        <f>CONCATENATE("Ventas totales ",G9)</f>
        <v>Ventas totales Abril</v>
      </c>
      <c r="G5" s="102"/>
      <c r="H5" s="102"/>
      <c r="O5" s="102" t="str">
        <f>CONCATENATE("Ventas acumuladas ")</f>
        <v xml:space="preserve">Ventas acumuladas </v>
      </c>
      <c r="P5" s="102"/>
      <c r="Q5" s="102"/>
      <c r="R5" s="102"/>
    </row>
    <row r="6" spans="1:23" ht="15" customHeight="1" thickBot="1" x14ac:dyDescent="0.3">
      <c r="F6" s="100"/>
      <c r="G6" s="101"/>
      <c r="H6" s="101"/>
    </row>
    <row r="7" spans="1:23" ht="28.5" customHeight="1" thickBot="1" x14ac:dyDescent="0.3">
      <c r="F7" s="100"/>
      <c r="G7" s="101"/>
      <c r="H7" s="101"/>
      <c r="J7" s="37" t="s">
        <v>31</v>
      </c>
      <c r="K7" s="97" t="s">
        <v>4</v>
      </c>
      <c r="L7" s="98"/>
      <c r="M7" s="99"/>
    </row>
    <row r="8" spans="1:23" ht="15.75" thickBot="1" x14ac:dyDescent="0.3"/>
    <row r="9" spans="1:23" ht="15.75" thickBot="1" x14ac:dyDescent="0.3">
      <c r="G9" s="25" t="str">
        <f>K7</f>
        <v>Abril</v>
      </c>
      <c r="H9" s="65" t="s">
        <v>47</v>
      </c>
      <c r="J9" s="25" t="str">
        <f>CONCATENATE(G9," ","18")</f>
        <v>Abril 18</v>
      </c>
      <c r="K9" s="62" t="s">
        <v>46</v>
      </c>
      <c r="L9" s="62" t="s">
        <v>48</v>
      </c>
      <c r="M9" s="65" t="s">
        <v>46</v>
      </c>
      <c r="O9" s="25" t="str">
        <f>CONCATENATE(G9," ","BG")</f>
        <v>Abril BG</v>
      </c>
      <c r="P9" s="62" t="s">
        <v>46</v>
      </c>
      <c r="Q9" s="62" t="s">
        <v>49</v>
      </c>
      <c r="R9" s="65" t="s">
        <v>46</v>
      </c>
    </row>
    <row r="10" spans="1:23" ht="15.75" thickBot="1" x14ac:dyDescent="0.3">
      <c r="F10" s="60" t="s">
        <v>23</v>
      </c>
      <c r="G10" s="66">
        <f>VLOOKUP($F$10,'Cta Resultados'!P3:AB3,MATCH('Análisis Datos'!$G$9,'Cta Resultados'!P2:AB2,0),0)</f>
        <v>11400</v>
      </c>
      <c r="H10" s="67">
        <f>SUMPRODUCT('Cta Resultados'!$Q$1:$AB$1,'Cta Resultados'!Q3:AB3)</f>
        <v>44300</v>
      </c>
      <c r="J10" s="66">
        <f>VLOOKUP($F$10,'Cta Resultados'!A3:N3,MATCH('Análisis Datos'!$G$9,'Cta Resultados'!A2:N2,0),0)</f>
        <v>9953.1</v>
      </c>
      <c r="K10" s="64">
        <f>G10/J10-1</f>
        <v>0.14537179371251163</v>
      </c>
      <c r="L10" s="69">
        <f>SUMPRODUCT('Cta Resultados'!$Q$1:$AB$1,'Cta Resultados'!B3:M3)</f>
        <v>37086.660000000003</v>
      </c>
      <c r="M10" s="63">
        <f>H10/L10-1</f>
        <v>0.19449958556526781</v>
      </c>
      <c r="O10" s="61">
        <f ca="1">VLOOKUP($F$10,'Cta Resultados'!AE3:AR3,MATCH('Análisis Datos'!$G$9,'Cta Resultados'!AE2:AR2,0),0)</f>
        <v>11247.003000000001</v>
      </c>
      <c r="P10" s="64">
        <f ca="1">IFERROR(H10/O10-1,"")</f>
        <v>2.938827081312239</v>
      </c>
      <c r="Q10" s="69">
        <f ca="1">SUMPRODUCT('Cta Resultados'!$Q$1:$AB$1,'Cta Resultados'!AF3:AQ3)</f>
        <v>41544.362399999998</v>
      </c>
      <c r="R10" s="63">
        <f ca="1">IFERROR(J10/Q10-1,"")</f>
        <v>-0.76042236719945422</v>
      </c>
    </row>
    <row r="11" spans="1:23" ht="6.4" customHeight="1" thickBot="1" x14ac:dyDescent="0.3">
      <c r="F11" s="3"/>
      <c r="G11" s="68"/>
      <c r="H11" s="68"/>
      <c r="J11" s="68"/>
      <c r="K11" s="1"/>
      <c r="L11" s="68"/>
      <c r="M11" s="1"/>
      <c r="O11" s="1"/>
      <c r="P11" s="1"/>
      <c r="Q11" s="68"/>
      <c r="R11" s="1"/>
    </row>
    <row r="12" spans="1:23" ht="15.75" thickBot="1" x14ac:dyDescent="0.3">
      <c r="F12" s="60" t="s">
        <v>32</v>
      </c>
      <c r="G12" s="66">
        <f>VLOOKUP($F$12,'Cta Resultados'!P8:AB8,MATCH('Análisis Datos'!$G$9,'Cta Resultados'!P2:AB2,0),0)</f>
        <v>5950</v>
      </c>
      <c r="H12" s="67">
        <f>SUMPRODUCT('Cta Resultados'!$Q$1:$AB$1,'Cta Resultados'!Q8:AB8)</f>
        <v>22468.46</v>
      </c>
      <c r="J12" s="66">
        <f>VLOOKUP($F$12,'Cta Resultados'!A8:N8,MATCH('Análisis Datos'!$G$9,'Cta Resultados'!A2:N2,0),0)</f>
        <v>5028</v>
      </c>
      <c r="K12" s="64">
        <f>G12/J12-1</f>
        <v>0.1833731105807479</v>
      </c>
      <c r="L12" s="69">
        <f>SUMPRODUCT('Cta Resultados'!$Q$1:$AB$1,'Cta Resultados'!B8:M8)</f>
        <v>17410</v>
      </c>
      <c r="M12" s="63">
        <f>H12/L12-1</f>
        <v>0.29054910970706493</v>
      </c>
      <c r="O12" s="61">
        <f ca="1">VLOOKUP($F$12,'Cta Resultados'!AE8:AR8,MATCH('Análisis Datos'!$G$9,'Cta Resultados'!AE2:AR2,0),0)</f>
        <v>5229.12</v>
      </c>
      <c r="P12" s="64">
        <f ca="1">IFERROR(H12/O12-1,"")</f>
        <v>3.2967956367419378</v>
      </c>
      <c r="Q12" s="69">
        <f ca="1">SUMPRODUCT('Cta Resultados'!$Q$1:$AB$1,'Cta Resultados'!AF8:AQ8)</f>
        <v>18098.649999999998</v>
      </c>
      <c r="R12" s="63">
        <f ca="1">IFERROR(J12/Q12-1,"")</f>
        <v>-0.722189224058148</v>
      </c>
    </row>
    <row r="13" spans="1:23" ht="6.4" customHeight="1" thickBot="1" x14ac:dyDescent="0.3">
      <c r="F13" s="3"/>
      <c r="G13" s="68"/>
      <c r="H13" s="68"/>
      <c r="J13" s="68"/>
      <c r="K13" s="1"/>
      <c r="L13" s="68"/>
      <c r="M13" s="1"/>
      <c r="O13" s="1"/>
      <c r="P13" s="1"/>
      <c r="Q13" s="68"/>
      <c r="R13" s="1"/>
    </row>
    <row r="14" spans="1:23" ht="15.75" thickBot="1" x14ac:dyDescent="0.3">
      <c r="F14" s="60" t="s">
        <v>25</v>
      </c>
      <c r="G14" s="66">
        <f>VLOOKUP($F$14,'Cta Resultados'!P11:AB11,MATCH('Análisis Datos'!$G$9,'Cta Resultados'!P2:AB2,0),0)</f>
        <v>2589.1966666666667</v>
      </c>
      <c r="H14" s="67">
        <f>SUMPRODUCT('Cta Resultados'!Q11:AB11,'Cta Resultados'!$Q$1:$AB$1)</f>
        <v>9825.3966666666674</v>
      </c>
      <c r="J14" s="66">
        <f>VLOOKUP($F$14,'Cta Resultados'!A11:N11,MATCH('Análisis Datos'!$G$9,'Cta Resultados'!A2:N2,0),0)</f>
        <v>1925.4166666666667</v>
      </c>
      <c r="K14" s="64">
        <f>G14/J14-1</f>
        <v>0.34474615884007798</v>
      </c>
      <c r="L14" s="69">
        <f>SUMPRODUCT('Cta Resultados'!B11:M11,'Cta Resultados'!$Q$1:$AB$1)</f>
        <v>7592.666666666667</v>
      </c>
      <c r="M14" s="63">
        <f>H14/L14-1</f>
        <v>0.29406400913161823</v>
      </c>
      <c r="O14" s="61">
        <f ca="1">VLOOKUP($F$14,'Cta Resultados'!AE11:AR11,MATCH('Análisis Datos'!$G$9,'Cta Resultados'!AE2:AR2,0),0)</f>
        <v>1972.7674999999999</v>
      </c>
      <c r="P14" s="64">
        <f ca="1">IFERROR(H14/O14-1,"")</f>
        <v>3.9805142606347008</v>
      </c>
      <c r="Q14" s="69">
        <f ca="1">SUMPRODUCT('Cta Resultados'!AF11:AQ11,'Cta Resultados'!$Q$1:$AB$1)</f>
        <v>7784.6175000000003</v>
      </c>
      <c r="R14" s="63">
        <f ca="1">IFERROR(J14/Q14-1,"")</f>
        <v>-0.7526639341410587</v>
      </c>
    </row>
    <row r="15" spans="1:23" ht="6.4" customHeight="1" thickBot="1" x14ac:dyDescent="0.3">
      <c r="G15" s="68"/>
      <c r="H15" s="68"/>
      <c r="J15" s="68"/>
      <c r="K15" s="1"/>
      <c r="L15" s="68"/>
      <c r="M15" s="1"/>
      <c r="O15" s="1"/>
      <c r="P15" s="1"/>
      <c r="Q15" s="68"/>
      <c r="R15" s="1"/>
    </row>
    <row r="16" spans="1:23" ht="15.75" thickBot="1" x14ac:dyDescent="0.3">
      <c r="F16" s="60" t="s">
        <v>30</v>
      </c>
      <c r="G16" s="66">
        <f>VLOOKUP("Resultado Neto antes de I.S.",'Cta Resultados'!P31:AB31,MATCH('Análisis Datos'!$G$9,'Cta Resultados'!P2:AB2,0),0)</f>
        <v>-1501.4966666666669</v>
      </c>
      <c r="H16" s="67">
        <f>SUMPRODUCT('Cta Resultados'!Q31:AB31,'Cta Resultados'!$Q$1:$AB$1)</f>
        <v>2111.9433333333327</v>
      </c>
      <c r="J16" s="66">
        <f>VLOOKUP("Resultado Neto antes de I.S.",'Cta Resultados'!A31:N31,MATCH('Análisis Datos'!$G$9,'Cta Resultados'!A2:N2,0),0)</f>
        <v>-1332.3166666666666</v>
      </c>
      <c r="K16" s="64">
        <f>G16/J16-1</f>
        <v>0.12698182364052601</v>
      </c>
      <c r="L16" s="69">
        <f>SUMPRODUCT('Cta Resultados'!B31:M31,'Cta Resultados'!$Q$1:$AB$1)</f>
        <v>2565.9933333333338</v>
      </c>
      <c r="M16" s="63">
        <f>H16/L16-1</f>
        <v>-0.17694901779427885</v>
      </c>
      <c r="O16" s="61">
        <f ca="1">VLOOKUP("Resultado Neto antes de I.S.",'Cta Resultados'!AE31:AR31,MATCH('Análisis Datos'!$G$9,'Cta Resultados'!AE2:AR2,0),0)</f>
        <v>-475.38449999999921</v>
      </c>
      <c r="P16" s="64">
        <f ca="1">IFERROR(H16/O16-1,"")</f>
        <v>-5.4426003231769995</v>
      </c>
      <c r="Q16" s="69">
        <f ca="1">SUMPRODUCT('Cta Resultados'!AF31:AQ31,'Cta Resultados'!$Q$1:$AB$1)</f>
        <v>5814.594900000001</v>
      </c>
      <c r="R16" s="63">
        <f ca="1">IFERROR(J16/Q16-1,"")</f>
        <v>-1.2291331880517877</v>
      </c>
    </row>
  </sheetData>
  <mergeCells count="6">
    <mergeCell ref="A1:W2"/>
    <mergeCell ref="K7:M7"/>
    <mergeCell ref="F6:F7"/>
    <mergeCell ref="G6:H7"/>
    <mergeCell ref="F5:H5"/>
    <mergeCell ref="O5:R5"/>
  </mergeCells>
  <conditionalFormatting sqref="K10">
    <cfRule type="cellIs" dxfId="53" priority="67" operator="greaterThan">
      <formula>20</formula>
    </cfRule>
    <cfRule type="cellIs" dxfId="52" priority="68" operator="between">
      <formula>0</formula>
      <formula>20</formula>
    </cfRule>
    <cfRule type="cellIs" dxfId="51" priority="69" operator="lessThan">
      <formula>0</formula>
    </cfRule>
  </conditionalFormatting>
  <conditionalFormatting sqref="K12">
    <cfRule type="cellIs" dxfId="50" priority="64" operator="greaterThan">
      <formula>20</formula>
    </cfRule>
    <cfRule type="cellIs" dxfId="49" priority="65" operator="between">
      <formula>0</formula>
      <formula>20</formula>
    </cfRule>
    <cfRule type="cellIs" dxfId="48" priority="66" operator="lessThan">
      <formula>0</formula>
    </cfRule>
  </conditionalFormatting>
  <conditionalFormatting sqref="K14">
    <cfRule type="cellIs" dxfId="47" priority="61" operator="greaterThan">
      <formula>20%</formula>
    </cfRule>
    <cfRule type="cellIs" dxfId="46" priority="62" operator="between">
      <formula>0</formula>
      <formula>20</formula>
    </cfRule>
    <cfRule type="cellIs" dxfId="45" priority="63" operator="lessThan">
      <formula>0</formula>
    </cfRule>
  </conditionalFormatting>
  <conditionalFormatting sqref="K16">
    <cfRule type="cellIs" dxfId="44" priority="58" operator="greaterThan">
      <formula>20</formula>
    </cfRule>
    <cfRule type="cellIs" dxfId="43" priority="59" operator="between">
      <formula>0</formula>
      <formula>20</formula>
    </cfRule>
    <cfRule type="cellIs" dxfId="42" priority="60" operator="lessThan">
      <formula>0</formula>
    </cfRule>
  </conditionalFormatting>
  <conditionalFormatting sqref="M10">
    <cfRule type="cellIs" dxfId="41" priority="55" operator="greaterThan">
      <formula>20</formula>
    </cfRule>
    <cfRule type="cellIs" dxfId="40" priority="56" operator="between">
      <formula>0</formula>
      <formula>20</formula>
    </cfRule>
    <cfRule type="cellIs" dxfId="39" priority="57" operator="lessThan">
      <formula>0</formula>
    </cfRule>
  </conditionalFormatting>
  <conditionalFormatting sqref="M12">
    <cfRule type="cellIs" dxfId="38" priority="52" operator="greaterThan">
      <formula>20</formula>
    </cfRule>
    <cfRule type="cellIs" dxfId="37" priority="53" operator="between">
      <formula>0</formula>
      <formula>20</formula>
    </cfRule>
    <cfRule type="cellIs" dxfId="36" priority="54" operator="lessThan">
      <formula>0</formula>
    </cfRule>
  </conditionalFormatting>
  <conditionalFormatting sqref="M14">
    <cfRule type="cellIs" dxfId="35" priority="49" operator="greaterThan">
      <formula>20%</formula>
    </cfRule>
    <cfRule type="cellIs" dxfId="34" priority="50" operator="between">
      <formula>0</formula>
      <formula>20</formula>
    </cfRule>
    <cfRule type="cellIs" dxfId="33" priority="51" operator="lessThan">
      <formula>0</formula>
    </cfRule>
  </conditionalFormatting>
  <conditionalFormatting sqref="M16">
    <cfRule type="cellIs" dxfId="32" priority="46" operator="greaterThan">
      <formula>20</formula>
    </cfRule>
    <cfRule type="cellIs" dxfId="31" priority="47" operator="between">
      <formula>0</formula>
      <formula>20</formula>
    </cfRule>
    <cfRule type="cellIs" dxfId="30" priority="48" operator="lessThan">
      <formula>0</formula>
    </cfRule>
  </conditionalFormatting>
  <conditionalFormatting sqref="P10">
    <cfRule type="cellIs" dxfId="29" priority="43" operator="greaterThan">
      <formula>20</formula>
    </cfRule>
    <cfRule type="cellIs" dxfId="28" priority="44" operator="between">
      <formula>0</formula>
      <formula>20</formula>
    </cfRule>
    <cfRule type="cellIs" dxfId="27" priority="45" operator="lessThan">
      <formula>0</formula>
    </cfRule>
  </conditionalFormatting>
  <conditionalFormatting sqref="P12">
    <cfRule type="cellIs" dxfId="26" priority="19" operator="greaterThan">
      <formula>20</formula>
    </cfRule>
    <cfRule type="cellIs" dxfId="25" priority="20" operator="between">
      <formula>0</formula>
      <formula>20</formula>
    </cfRule>
    <cfRule type="cellIs" dxfId="24" priority="21" operator="lessThan">
      <formula>0</formula>
    </cfRule>
  </conditionalFormatting>
  <conditionalFormatting sqref="P14">
    <cfRule type="cellIs" dxfId="23" priority="16" operator="greaterThan">
      <formula>20</formula>
    </cfRule>
    <cfRule type="cellIs" dxfId="22" priority="17" operator="between">
      <formula>0</formula>
      <formula>20</formula>
    </cfRule>
    <cfRule type="cellIs" dxfId="21" priority="18" operator="lessThan">
      <formula>0</formula>
    </cfRule>
  </conditionalFormatting>
  <conditionalFormatting sqref="P16">
    <cfRule type="cellIs" dxfId="20" priority="13" operator="greaterThan">
      <formula>20</formula>
    </cfRule>
    <cfRule type="cellIs" dxfId="19" priority="14" operator="between">
      <formula>0</formula>
      <formula>20</formula>
    </cfRule>
    <cfRule type="cellIs" dxfId="18" priority="15" operator="lessThan">
      <formula>0</formula>
    </cfRule>
  </conditionalFormatting>
  <conditionalFormatting sqref="R10">
    <cfRule type="cellIs" dxfId="17" priority="10" operator="greaterThan">
      <formula>20</formula>
    </cfRule>
    <cfRule type="cellIs" dxfId="16" priority="11" operator="between">
      <formula>0</formula>
      <formula>20</formula>
    </cfRule>
    <cfRule type="cellIs" dxfId="15" priority="12" operator="lessThan">
      <formula>0</formula>
    </cfRule>
  </conditionalFormatting>
  <conditionalFormatting sqref="R12">
    <cfRule type="cellIs" dxfId="14" priority="7" operator="greaterThan">
      <formula>20</formula>
    </cfRule>
    <cfRule type="cellIs" dxfId="13" priority="8" operator="between">
      <formula>0</formula>
      <formula>20</formula>
    </cfRule>
    <cfRule type="cellIs" dxfId="12" priority="9" operator="lessThan">
      <formula>0</formula>
    </cfRule>
  </conditionalFormatting>
  <conditionalFormatting sqref="R14">
    <cfRule type="cellIs" dxfId="11" priority="4" operator="greaterThan">
      <formula>20</formula>
    </cfRule>
    <cfRule type="cellIs" dxfId="10" priority="5" operator="between">
      <formula>0</formula>
      <formula>20</formula>
    </cfRule>
    <cfRule type="cellIs" dxfId="9" priority="6" operator="lessThan">
      <formula>0</formula>
    </cfRule>
  </conditionalFormatting>
  <conditionalFormatting sqref="R16">
    <cfRule type="cellIs" dxfId="8" priority="1" operator="greaterThan">
      <formula>20</formula>
    </cfRule>
    <cfRule type="cellIs" dxfId="7" priority="2" operator="between">
      <formula>0</formula>
      <formula>20</formula>
    </cfRule>
    <cfRule type="cellIs" dxfId="6" priority="3" operator="lessThan">
      <formula>0</formula>
    </cfRule>
  </conditionalFormatting>
  <pageMargins left="0.51181102362204722" right="0.51181102362204722" top="0.74803149606299213" bottom="0.74803149606299213" header="0.31496062992125984" footer="0.31496062992125984"/>
  <pageSetup paperSize="9" scale="5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46F433C-1B6F-4478-B53C-0BA3B55D6B16}">
          <x14:formula1>
            <xm:f>'Cta Resultados'!$Q$2:$AB$2</xm:f>
          </x14:formula1>
          <xm:sqref>K7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A35EE-97C9-46EB-ADC6-82B6437DB63C}">
  <sheetPr codeName="Hoja2">
    <tabColor theme="8" tint="0.59999389629810485"/>
  </sheetPr>
  <dimension ref="A1:AU32"/>
  <sheetViews>
    <sheetView showGridLines="0" topLeftCell="T1" zoomScale="80" zoomScaleNormal="80" workbookViewId="0">
      <selection activeCell="Q7" sqref="Q7"/>
    </sheetView>
  </sheetViews>
  <sheetFormatPr baseColWidth="10" defaultRowHeight="15" outlineLevelRow="1" outlineLevelCol="1" x14ac:dyDescent="0.25"/>
  <cols>
    <col min="1" max="1" width="25.5703125" bestFit="1" customWidth="1"/>
    <col min="2" max="13" width="10.85546875" customWidth="1" outlineLevel="1"/>
    <col min="14" max="14" width="11.5703125"/>
    <col min="15" max="15" width="3.28515625" customWidth="1"/>
    <col min="16" max="16" width="25.5703125" bestFit="1" customWidth="1"/>
    <col min="30" max="30" width="2.28515625" customWidth="1"/>
    <col min="31" max="31" width="25.5703125" bestFit="1" customWidth="1"/>
    <col min="32" max="43" width="10.85546875" customWidth="1" outlineLevel="1"/>
  </cols>
  <sheetData>
    <row r="1" spans="1:47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Q1" s="2">
        <f>IF('Análisis Datos'!$G$9="Enero",1,IF('Análisis Datos'!$G$9="Febrero",1,IF('Análisis Datos'!$G$9="Marzo",1,IF('Análisis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Datos'!$G$9="Diciembre",1,0))))))))))))</f>
        <v>1</v>
      </c>
      <c r="R1" s="2">
        <f>IF('Análisis Datos'!$G$9="Febrero",1,IF('Análisis Datos'!$G$9="Marzo",1,IF('Análisis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Datos'!$G$9="Diciembre",1,0)))))))))))</f>
        <v>1</v>
      </c>
      <c r="S1" s="2">
        <f>IF('Análisis Datos'!$G$9="Marzo",1,IF('Análisis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Datos'!$G$9="Diciembre",1,0))))))))))</f>
        <v>1</v>
      </c>
      <c r="T1" s="2">
        <f>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</f>
        <v>1</v>
      </c>
      <c r="U1" s="2">
        <f>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</f>
        <v>0</v>
      </c>
      <c r="V1" s="2">
        <f>IF('Análisis Datos'!$G$9="Junio",1,IF('Análisis Datos'!$G$9="Julio",1,IF('Análisis Datos'!$G$9="Agosto",1,IF('Análisis Datos'!$G$9="Septiembre",1,IF('Análisis Datos'!$G$9="Octubre",1,IF('Análisis Datos'!$G$9="Noviembre",1,IF('Análisis Datos'!$G$9="Diciembre",1,0)))))))</f>
        <v>0</v>
      </c>
      <c r="W1" s="2">
        <f>IF('Análisis Datos'!$G$9="Julio",1,IF('Análisis Datos'!$G$9="Agosto",1,IF('Análisis Datos'!$G$9="Septiembre",1,IF('Análisis Datos'!$G$9="Octubre",1,IF('Análisis Datos'!$G$9="Noviembre",1,IF('Análisis Datos'!$G$9="Diciembre",1,0))))))</f>
        <v>0</v>
      </c>
      <c r="X1" s="2">
        <f>IF('Análisis Datos'!$G$9="Agosto",1,IF('Análisis Datos'!$G$9="Septiembre",1,IF('Análisis Datos'!$G$9="Octubre",1,IF('Análisis Datos'!$G$9="Noviembre",1,IF('Análisis Datos'!$G$9="Diciembre",1,0)))))</f>
        <v>0</v>
      </c>
      <c r="Y1" s="2">
        <f>IF('Análisis Datos'!$G$9="Septiembre",1,IF('Análisis Datos'!$G$9="Octubre",1,IF('Análisis Datos'!$G$9="Noviembre",1,IF('Análisis Datos'!$G$9="Diciembre",1,0))))</f>
        <v>0</v>
      </c>
      <c r="Z1" s="2">
        <f>IF('Análisis Datos'!$G$9="Octubre",1,IF('Análisis Datos'!$G$9="Noviembre",1,IF('Análisis Datos'!$G$9="Diciembre",1,0)))</f>
        <v>0</v>
      </c>
      <c r="AA1" s="2">
        <f>IF('Análisis Datos'!$G$9="Noviembre",1,IF('Análisis Datos'!$G$9="Diciembre",1,0))</f>
        <v>0</v>
      </c>
      <c r="AB1" s="2">
        <f>IF('Análisis Datos'!$G$9="Noviembre",1,IF('Análisis Datos'!$G$9="Diciembre",1,0))</f>
        <v>0</v>
      </c>
      <c r="AC1" s="3"/>
      <c r="AT1" s="103" t="s">
        <v>23</v>
      </c>
      <c r="AU1" s="103"/>
    </row>
    <row r="2" spans="1:47" x14ac:dyDescent="0.25">
      <c r="A2" s="38">
        <v>2018</v>
      </c>
      <c r="B2" s="38" t="s">
        <v>1</v>
      </c>
      <c r="C2" s="38" t="s">
        <v>2</v>
      </c>
      <c r="D2" s="38" t="s">
        <v>3</v>
      </c>
      <c r="E2" s="38" t="s">
        <v>4</v>
      </c>
      <c r="F2" s="38" t="s">
        <v>5</v>
      </c>
      <c r="G2" s="38" t="s">
        <v>6</v>
      </c>
      <c r="H2" s="38" t="s">
        <v>7</v>
      </c>
      <c r="I2" s="38" t="s">
        <v>8</v>
      </c>
      <c r="J2" s="38" t="s">
        <v>9</v>
      </c>
      <c r="K2" s="38" t="s">
        <v>10</v>
      </c>
      <c r="L2" s="38" t="s">
        <v>11</v>
      </c>
      <c r="M2" s="38" t="s">
        <v>12</v>
      </c>
      <c r="N2" s="38" t="s">
        <v>0</v>
      </c>
      <c r="P2" s="4">
        <v>2019</v>
      </c>
      <c r="Q2" s="4" t="s">
        <v>1</v>
      </c>
      <c r="R2" s="4" t="s">
        <v>2</v>
      </c>
      <c r="S2" s="4" t="s">
        <v>3</v>
      </c>
      <c r="T2" s="4" t="s">
        <v>4</v>
      </c>
      <c r="U2" s="4" t="s">
        <v>5</v>
      </c>
      <c r="V2" s="4" t="s">
        <v>6</v>
      </c>
      <c r="W2" s="4" t="s">
        <v>7</v>
      </c>
      <c r="X2" s="4" t="s">
        <v>8</v>
      </c>
      <c r="Y2" s="4" t="s">
        <v>9</v>
      </c>
      <c r="Z2" s="4" t="s">
        <v>10</v>
      </c>
      <c r="AA2" s="4" t="s">
        <v>11</v>
      </c>
      <c r="AB2" s="4" t="s">
        <v>12</v>
      </c>
      <c r="AC2" s="4" t="s">
        <v>0</v>
      </c>
      <c r="AE2" s="48" t="s">
        <v>45</v>
      </c>
      <c r="AF2" s="48" t="s">
        <v>1</v>
      </c>
      <c r="AG2" s="48" t="s">
        <v>2</v>
      </c>
      <c r="AH2" s="48" t="s">
        <v>3</v>
      </c>
      <c r="AI2" s="48" t="s">
        <v>4</v>
      </c>
      <c r="AJ2" s="48" t="s">
        <v>5</v>
      </c>
      <c r="AK2" s="48" t="s">
        <v>6</v>
      </c>
      <c r="AL2" s="48" t="s">
        <v>7</v>
      </c>
      <c r="AM2" s="48" t="s">
        <v>8</v>
      </c>
      <c r="AN2" s="48" t="s">
        <v>9</v>
      </c>
      <c r="AO2" s="48" t="s">
        <v>10</v>
      </c>
      <c r="AP2" s="48" t="s">
        <v>11</v>
      </c>
      <c r="AQ2" s="48" t="s">
        <v>12</v>
      </c>
      <c r="AR2" s="48" t="s">
        <v>0</v>
      </c>
      <c r="AT2" s="83" t="s">
        <v>115</v>
      </c>
      <c r="AU2" s="83" t="s">
        <v>116</v>
      </c>
    </row>
    <row r="3" spans="1:47" x14ac:dyDescent="0.25">
      <c r="A3" s="39" t="s">
        <v>23</v>
      </c>
      <c r="B3" s="40">
        <f>Facturación!AK4+B4</f>
        <v>9222.7800000000007</v>
      </c>
      <c r="C3" s="40">
        <f>Facturación!AM4+C4</f>
        <v>7190.76</v>
      </c>
      <c r="D3" s="40">
        <f>Facturación!AO4+D4</f>
        <v>10720.02</v>
      </c>
      <c r="E3" s="40">
        <f>Facturación!AQ4+E4</f>
        <v>9953.1</v>
      </c>
      <c r="F3" s="40">
        <f>Facturación!AS4+F4</f>
        <v>9843.92</v>
      </c>
      <c r="G3" s="40">
        <f>Facturación!AU4+G4</f>
        <v>10254.66</v>
      </c>
      <c r="H3" s="40">
        <f>Facturación!AW4+H4</f>
        <v>9242.7999999999993</v>
      </c>
      <c r="I3" s="40">
        <f>Facturación!AY4+I4</f>
        <v>9222.6</v>
      </c>
      <c r="J3" s="40">
        <f>Facturación!BA4+J4</f>
        <v>9587.32</v>
      </c>
      <c r="K3" s="40">
        <f>Facturación!BC4+K4</f>
        <v>8947.08</v>
      </c>
      <c r="L3" s="40">
        <f>Facturación!BE4+L4</f>
        <v>9921.86</v>
      </c>
      <c r="M3" s="40">
        <f>Facturación!BG4+M4</f>
        <v>10039.24</v>
      </c>
      <c r="N3" s="41">
        <f>SUM(B3:M3)</f>
        <v>114146.14000000003</v>
      </c>
      <c r="P3" s="13" t="s">
        <v>23</v>
      </c>
      <c r="Q3" s="20">
        <f>Facturación!BI4+Q4</f>
        <v>10500</v>
      </c>
      <c r="R3" s="20">
        <f>Facturación!BK4+R4</f>
        <v>10800</v>
      </c>
      <c r="S3" s="20">
        <f>Facturación!BM4+S4</f>
        <v>11600</v>
      </c>
      <c r="T3" s="20">
        <f>Facturación!BO4+T4</f>
        <v>11400</v>
      </c>
      <c r="U3" s="20">
        <f>Facturación!BQ4+U4</f>
        <v>0</v>
      </c>
      <c r="V3" s="20">
        <f>Facturación!BS4+V4</f>
        <v>0</v>
      </c>
      <c r="W3" s="20">
        <f>Facturación!BU4+W4</f>
        <v>0</v>
      </c>
      <c r="X3" s="20">
        <f>Facturación!BW4+X4</f>
        <v>0</v>
      </c>
      <c r="Y3" s="20">
        <f>Facturación!BY4+Y4</f>
        <v>0</v>
      </c>
      <c r="Z3" s="20">
        <f>Facturación!CA4+Z4</f>
        <v>0</v>
      </c>
      <c r="AA3" s="20">
        <f>Facturación!CC4+AA4</f>
        <v>0</v>
      </c>
      <c r="AB3" s="20">
        <f>Facturación!CE4+AB4</f>
        <v>0</v>
      </c>
      <c r="AC3" s="21">
        <f t="shared" ref="AC3:AC4" si="0">SUM(Q3:AB3)</f>
        <v>44300</v>
      </c>
      <c r="AE3" s="49" t="s">
        <v>23</v>
      </c>
      <c r="AF3" s="50">
        <f t="shared" ref="AF3:AQ3" ca="1" si="1">((RANDBETWEEN($AT$3,$AU$3)*B3)/100)+B3+AF4</f>
        <v>10237.285800000001</v>
      </c>
      <c r="AG3" s="50">
        <f t="shared" ca="1" si="1"/>
        <v>8053.6512000000002</v>
      </c>
      <c r="AH3" s="50">
        <f t="shared" ca="1" si="1"/>
        <v>12006.422399999999</v>
      </c>
      <c r="AI3" s="50">
        <f t="shared" ca="1" si="1"/>
        <v>11247.003000000001</v>
      </c>
      <c r="AJ3" s="50">
        <f t="shared" ca="1" si="1"/>
        <v>11123.6296</v>
      </c>
      <c r="AK3" s="50">
        <f t="shared" ca="1" si="1"/>
        <v>11792.859</v>
      </c>
      <c r="AL3" s="50">
        <f t="shared" ca="1" si="1"/>
        <v>10444.364</v>
      </c>
      <c r="AM3" s="50">
        <f t="shared" ca="1" si="1"/>
        <v>10144.86</v>
      </c>
      <c r="AN3" s="50">
        <f t="shared" ca="1" si="1"/>
        <v>10833.6716</v>
      </c>
      <c r="AO3" s="50">
        <f t="shared" ca="1" si="1"/>
        <v>9931.2587999999996</v>
      </c>
      <c r="AP3" s="50">
        <f t="shared" ca="1" si="1"/>
        <v>11211.701800000001</v>
      </c>
      <c r="AQ3" s="50">
        <f t="shared" ca="1" si="1"/>
        <v>11143.556399999999</v>
      </c>
      <c r="AR3" s="51">
        <f t="shared" ref="AR3:AR4" ca="1" si="2">SUM(AF3:AQ3)</f>
        <v>128170.26359999999</v>
      </c>
      <c r="AS3" s="59"/>
      <c r="AT3" s="84">
        <v>10</v>
      </c>
      <c r="AU3" s="84">
        <v>15</v>
      </c>
    </row>
    <row r="4" spans="1:47" x14ac:dyDescent="0.25">
      <c r="A4" s="94" t="s">
        <v>118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41">
        <f>SUM(B4:M4)</f>
        <v>0</v>
      </c>
      <c r="O4" s="93"/>
      <c r="P4" s="94" t="str">
        <f>A4</f>
        <v>Subvenciones</v>
      </c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21">
        <f t="shared" si="0"/>
        <v>0</v>
      </c>
      <c r="AD4" s="93"/>
      <c r="AE4" s="94" t="str">
        <f>P4</f>
        <v>Subvenciones</v>
      </c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51">
        <f t="shared" si="2"/>
        <v>0</v>
      </c>
      <c r="AS4" s="59"/>
      <c r="AT4" s="92"/>
      <c r="AU4" s="92"/>
    </row>
    <row r="5" spans="1:47" ht="10.15" customHeight="1" x14ac:dyDescent="0.2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P5" s="9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E5" s="9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59"/>
    </row>
    <row r="6" spans="1:47" x14ac:dyDescent="0.25">
      <c r="A6" s="39" t="s">
        <v>86</v>
      </c>
      <c r="B6" s="40">
        <f>Gastos!C14+Gastos!C15+Gastos!C16</f>
        <v>728</v>
      </c>
      <c r="C6" s="40">
        <f>Gastos!D14+Gastos!D15+Gastos!D16</f>
        <v>46</v>
      </c>
      <c r="D6" s="40">
        <f>Gastos!E14+Gastos!E15+Gastos!E16</f>
        <v>621</v>
      </c>
      <c r="E6" s="40">
        <f>Gastos!F14+Gastos!F15+Gastos!F16</f>
        <v>986</v>
      </c>
      <c r="F6" s="40">
        <f>Gastos!G14+Gastos!G15+Gastos!G16</f>
        <v>676</v>
      </c>
      <c r="G6" s="40">
        <f>Gastos!H14+Gastos!H15+Gastos!H16</f>
        <v>562</v>
      </c>
      <c r="H6" s="40">
        <f>Gastos!I14+Gastos!I15+Gastos!I16</f>
        <v>388</v>
      </c>
      <c r="I6" s="40">
        <f>Gastos!J14+Gastos!J15+Gastos!J16</f>
        <v>46</v>
      </c>
      <c r="J6" s="40">
        <f>Gastos!K14+Gastos!K15+Gastos!K16</f>
        <v>656</v>
      </c>
      <c r="K6" s="40">
        <f>Gastos!L14+Gastos!L15+Gastos!L16</f>
        <v>456</v>
      </c>
      <c r="L6" s="40">
        <f>Gastos!M14+Gastos!M15+Gastos!M16</f>
        <v>624</v>
      </c>
      <c r="M6" s="40">
        <f>Gastos!N14+Gastos!N15+Gastos!N16</f>
        <v>793</v>
      </c>
      <c r="N6" s="41">
        <f>SUM(B6:M6)</f>
        <v>6582</v>
      </c>
      <c r="P6" s="23" t="s">
        <v>86</v>
      </c>
      <c r="Q6" s="24">
        <f>Gastos!Q14+Gastos!Q15+Gastos!Q16</f>
        <v>552</v>
      </c>
      <c r="R6" s="24">
        <f>Gastos!R14+Gastos!R15+Gastos!R16</f>
        <v>1543</v>
      </c>
      <c r="S6" s="24">
        <f>Gastos!S14+Gastos!S15+Gastos!S16</f>
        <v>616</v>
      </c>
      <c r="T6" s="24">
        <f>Gastos!T14+Gastos!T15+Gastos!T16</f>
        <v>496</v>
      </c>
      <c r="U6" s="24">
        <f>Gastos!U14+Gastos!U15+Gastos!U16</f>
        <v>0</v>
      </c>
      <c r="V6" s="24">
        <f>Gastos!V14+Gastos!V15+Gastos!V16</f>
        <v>0</v>
      </c>
      <c r="W6" s="24">
        <f>Gastos!W14+Gastos!W15+Gastos!W16</f>
        <v>0</v>
      </c>
      <c r="X6" s="24">
        <f>Gastos!X14+Gastos!X15+Gastos!X16</f>
        <v>0</v>
      </c>
      <c r="Y6" s="24">
        <f>Gastos!Y14+Gastos!Y15+Gastos!Y16</f>
        <v>0</v>
      </c>
      <c r="Z6" s="24">
        <f>Gastos!Z14+Gastos!Z15+Gastos!Z16</f>
        <v>0</v>
      </c>
      <c r="AA6" s="24">
        <f>Gastos!AA14+Gastos!AA15+Gastos!AA16</f>
        <v>0</v>
      </c>
      <c r="AB6" s="24">
        <f>Gastos!AB14+Gastos!AB15+Gastos!AB16</f>
        <v>0</v>
      </c>
      <c r="AC6" s="21">
        <f t="shared" ref="AC6" si="3">SUM(Q6:AB6)</f>
        <v>3207</v>
      </c>
      <c r="AE6" s="49" t="s">
        <v>86</v>
      </c>
      <c r="AF6" s="50">
        <f ca="1">((RANDBETWEEN($AT$8,$AU$8)*B6)/100)+B6</f>
        <v>749.84</v>
      </c>
      <c r="AG6" s="50">
        <f t="shared" ref="AG6:AQ6" ca="1" si="4">((RANDBETWEEN($AT$8,$AU$8)*C6)/100)+C6</f>
        <v>47.38</v>
      </c>
      <c r="AH6" s="50">
        <f t="shared" ca="1" si="4"/>
        <v>639.63</v>
      </c>
      <c r="AI6" s="50">
        <f t="shared" ca="1" si="4"/>
        <v>1035.3</v>
      </c>
      <c r="AJ6" s="50">
        <f t="shared" ca="1" si="4"/>
        <v>703.04</v>
      </c>
      <c r="AK6" s="50">
        <f t="shared" ca="1" si="4"/>
        <v>584.48</v>
      </c>
      <c r="AL6" s="50">
        <f t="shared" ca="1" si="4"/>
        <v>399.64</v>
      </c>
      <c r="AM6" s="50">
        <f t="shared" ca="1" si="4"/>
        <v>47.84</v>
      </c>
      <c r="AN6" s="50">
        <f t="shared" ca="1" si="4"/>
        <v>675.68</v>
      </c>
      <c r="AO6" s="50">
        <f t="shared" ca="1" si="4"/>
        <v>478.8</v>
      </c>
      <c r="AP6" s="50">
        <f t="shared" ca="1" si="4"/>
        <v>648.96</v>
      </c>
      <c r="AQ6" s="50">
        <f t="shared" ca="1" si="4"/>
        <v>816.79</v>
      </c>
      <c r="AR6" s="51">
        <f t="shared" ref="AR6" ca="1" si="5">SUM(AF6:AQ6)</f>
        <v>6827.38</v>
      </c>
      <c r="AT6" s="103" t="s">
        <v>117</v>
      </c>
      <c r="AU6" s="103"/>
    </row>
    <row r="7" spans="1:47" x14ac:dyDescent="0.25">
      <c r="A7" s="32" t="s">
        <v>111</v>
      </c>
      <c r="B7" s="18">
        <f>B6/B3</f>
        <v>7.8934984896094226E-2</v>
      </c>
      <c r="C7" s="18">
        <f t="shared" ref="C7:N7" si="6">C6/C3</f>
        <v>6.3970984986287957E-3</v>
      </c>
      <c r="D7" s="18">
        <f t="shared" si="6"/>
        <v>5.7928996401126115E-2</v>
      </c>
      <c r="E7" s="18">
        <f t="shared" si="6"/>
        <v>9.906461303513478E-2</v>
      </c>
      <c r="F7" s="18">
        <f t="shared" si="6"/>
        <v>6.8671829921413421E-2</v>
      </c>
      <c r="G7" s="18">
        <f t="shared" si="6"/>
        <v>5.48043523627307E-2</v>
      </c>
      <c r="H7" s="18">
        <f t="shared" si="6"/>
        <v>4.1978621197039864E-2</v>
      </c>
      <c r="I7" s="18">
        <f t="shared" si="6"/>
        <v>4.987747489861861E-3</v>
      </c>
      <c r="J7" s="18">
        <f t="shared" si="6"/>
        <v>6.8423709649829148E-2</v>
      </c>
      <c r="K7" s="18">
        <f t="shared" si="6"/>
        <v>5.0966348797596532E-2</v>
      </c>
      <c r="L7" s="18">
        <f t="shared" si="6"/>
        <v>6.289143366263987E-2</v>
      </c>
      <c r="M7" s="18">
        <f t="shared" si="6"/>
        <v>7.8990043070989432E-2</v>
      </c>
      <c r="N7" s="18">
        <f t="shared" si="6"/>
        <v>5.7662922285414107E-2</v>
      </c>
      <c r="P7" s="32" t="s">
        <v>112</v>
      </c>
      <c r="Q7" s="18">
        <f t="shared" ref="Q7" si="7">Q6/Q3</f>
        <v>5.2571428571428575E-2</v>
      </c>
      <c r="R7" s="18">
        <f t="shared" ref="R7" si="8">R6/R3</f>
        <v>0.14287037037037037</v>
      </c>
      <c r="S7" s="18">
        <f t="shared" ref="S7" si="9">S6/S3</f>
        <v>5.3103448275862067E-2</v>
      </c>
      <c r="T7" s="18">
        <f t="shared" ref="T7" si="10">T6/T3</f>
        <v>4.3508771929824559E-2</v>
      </c>
      <c r="U7" s="18" t="e">
        <f t="shared" ref="U7" si="11">U6/U3</f>
        <v>#DIV/0!</v>
      </c>
      <c r="V7" s="18" t="e">
        <f t="shared" ref="V7" si="12">V6/V3</f>
        <v>#DIV/0!</v>
      </c>
      <c r="W7" s="18" t="e">
        <f t="shared" ref="W7" si="13">W6/W3</f>
        <v>#DIV/0!</v>
      </c>
      <c r="X7" s="18" t="e">
        <f t="shared" ref="X7" si="14">X6/X3</f>
        <v>#DIV/0!</v>
      </c>
      <c r="Y7" s="18" t="e">
        <f t="shared" ref="Y7" si="15">Y6/Y3</f>
        <v>#DIV/0!</v>
      </c>
      <c r="Z7" s="18" t="e">
        <f t="shared" ref="Z7" si="16">Z6/Z3</f>
        <v>#DIV/0!</v>
      </c>
      <c r="AA7" s="18" t="e">
        <f t="shared" ref="AA7" si="17">AA6/AA3</f>
        <v>#DIV/0!</v>
      </c>
      <c r="AB7" s="18" t="e">
        <f t="shared" ref="AB7" si="18">AB6/AB3</f>
        <v>#DIV/0!</v>
      </c>
      <c r="AC7" s="10"/>
      <c r="AE7" s="9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T7" s="83" t="s">
        <v>115</v>
      </c>
      <c r="AU7" s="83" t="s">
        <v>116</v>
      </c>
    </row>
    <row r="8" spans="1:47" x14ac:dyDescent="0.25">
      <c r="A8" s="39" t="s">
        <v>24</v>
      </c>
      <c r="B8" s="40">
        <f>Gastos!C8+Gastos!C9</f>
        <v>3771</v>
      </c>
      <c r="C8" s="40">
        <f>Gastos!D8+Gastos!D9</f>
        <v>3918</v>
      </c>
      <c r="D8" s="40">
        <f>Gastos!E8+Gastos!E9</f>
        <v>4693</v>
      </c>
      <c r="E8" s="40">
        <f>Gastos!F8+Gastos!F9</f>
        <v>5028</v>
      </c>
      <c r="F8" s="40">
        <f>Gastos!G8+Gastos!G9</f>
        <v>5181</v>
      </c>
      <c r="G8" s="40">
        <f>Gastos!H8+Gastos!H9</f>
        <v>5184</v>
      </c>
      <c r="H8" s="40">
        <f>Gastos!I8+Gastos!I9</f>
        <v>5183</v>
      </c>
      <c r="I8" s="40">
        <f>Gastos!J8+Gastos!J9</f>
        <v>5500</v>
      </c>
      <c r="J8" s="40">
        <f>Gastos!K8+Gastos!K9</f>
        <v>5443</v>
      </c>
      <c r="K8" s="40">
        <f>Gastos!L8+Gastos!L9</f>
        <v>5558</v>
      </c>
      <c r="L8" s="40">
        <f>Gastos!M8+Gastos!M9</f>
        <v>5635</v>
      </c>
      <c r="M8" s="40">
        <f>Gastos!N8+Gastos!N9</f>
        <v>5680</v>
      </c>
      <c r="N8" s="41">
        <f>SUM(B8:M8)</f>
        <v>60774</v>
      </c>
      <c r="P8" s="23" t="s">
        <v>24</v>
      </c>
      <c r="Q8" s="24">
        <f>Gastos!Q8+Gastos!Q9</f>
        <v>5305.72</v>
      </c>
      <c r="R8" s="24">
        <f>Gastos!R8+Gastos!R9</f>
        <v>5418</v>
      </c>
      <c r="S8" s="24">
        <f>Gastos!S8+Gastos!S9</f>
        <v>5794.74</v>
      </c>
      <c r="T8" s="24">
        <f>Gastos!T8+Gastos!T9</f>
        <v>5950</v>
      </c>
      <c r="U8" s="24">
        <f>Gastos!U8+Gastos!U9</f>
        <v>0</v>
      </c>
      <c r="V8" s="24">
        <f>Gastos!V8+Gastos!V9</f>
        <v>0</v>
      </c>
      <c r="W8" s="24">
        <f>Gastos!W8+Gastos!W9</f>
        <v>0</v>
      </c>
      <c r="X8" s="24">
        <f>Gastos!X8+Gastos!X9</f>
        <v>0</v>
      </c>
      <c r="Y8" s="24">
        <f>Gastos!Y8+Gastos!Y9</f>
        <v>0</v>
      </c>
      <c r="Z8" s="24">
        <f>Gastos!Z8+Gastos!Z9</f>
        <v>0</v>
      </c>
      <c r="AA8" s="24">
        <f>Gastos!AA8+Gastos!AA9</f>
        <v>0</v>
      </c>
      <c r="AB8" s="24">
        <f>Gastos!AB8+Gastos!AB9</f>
        <v>0</v>
      </c>
      <c r="AC8" s="21">
        <f t="shared" ref="AC8" si="19">SUM(Q8:AB8)</f>
        <v>22468.46</v>
      </c>
      <c r="AE8" s="49" t="s">
        <v>24</v>
      </c>
      <c r="AF8" s="50">
        <f ca="1">((RANDBETWEEN($AT$8,$AU$8)*B8)/100)+B8</f>
        <v>3921.84</v>
      </c>
      <c r="AG8" s="50">
        <f t="shared" ref="AG8:AQ8" ca="1" si="20">((RANDBETWEEN($AT$8,$AU$8)*C8)/100)+C8</f>
        <v>4113.8999999999996</v>
      </c>
      <c r="AH8" s="50">
        <f t="shared" ca="1" si="20"/>
        <v>4833.79</v>
      </c>
      <c r="AI8" s="50">
        <f t="shared" ca="1" si="20"/>
        <v>5229.12</v>
      </c>
      <c r="AJ8" s="50">
        <f t="shared" ca="1" si="20"/>
        <v>5440.05</v>
      </c>
      <c r="AK8" s="50">
        <f t="shared" ca="1" si="20"/>
        <v>5339.52</v>
      </c>
      <c r="AL8" s="50">
        <f t="shared" ca="1" si="20"/>
        <v>5390.32</v>
      </c>
      <c r="AM8" s="50">
        <f t="shared" ca="1" si="20"/>
        <v>5720</v>
      </c>
      <c r="AN8" s="50">
        <f t="shared" ca="1" si="20"/>
        <v>5606.29</v>
      </c>
      <c r="AO8" s="50">
        <f t="shared" ca="1" si="20"/>
        <v>5780.32</v>
      </c>
      <c r="AP8" s="50">
        <f t="shared" ca="1" si="20"/>
        <v>5916.75</v>
      </c>
      <c r="AQ8" s="50">
        <f t="shared" ca="1" si="20"/>
        <v>5850.4</v>
      </c>
      <c r="AR8" s="51">
        <f t="shared" ref="AR8" ca="1" si="21">SUM(AF8:AQ8)</f>
        <v>63142.299999999996</v>
      </c>
      <c r="AT8" s="84">
        <v>3</v>
      </c>
      <c r="AU8" s="84">
        <v>5</v>
      </c>
    </row>
    <row r="9" spans="1:47" x14ac:dyDescent="0.25">
      <c r="A9" s="32" t="s">
        <v>39</v>
      </c>
      <c r="B9" s="18">
        <v>0.57176901682885117</v>
      </c>
      <c r="C9" s="18">
        <v>0.57026155736724893</v>
      </c>
      <c r="D9" s="18">
        <v>0.42634003693414324</v>
      </c>
      <c r="E9" s="18">
        <v>0.4025717979937245</v>
      </c>
      <c r="F9" s="18">
        <v>0.54504785007200129</v>
      </c>
      <c r="G9" s="18">
        <v>0.73199381953232368</v>
      </c>
      <c r="H9" s="18">
        <v>0.39056309940290335</v>
      </c>
      <c r="I9" s="18">
        <v>1.3071512910351248</v>
      </c>
      <c r="J9" s="18">
        <v>0.72495022718444857</v>
      </c>
      <c r="K9" s="18">
        <v>1.0453822196677047</v>
      </c>
      <c r="L9" s="18">
        <v>0.69549893820435282</v>
      </c>
      <c r="M9" s="18">
        <v>0.49951565402540127</v>
      </c>
      <c r="N9" s="18">
        <v>0.57934110900235192</v>
      </c>
      <c r="P9" s="32" t="s">
        <v>39</v>
      </c>
      <c r="Q9" s="18">
        <f t="shared" ref="Q9:AC9" si="22">Q8/Q3</f>
        <v>0.50530666666666668</v>
      </c>
      <c r="R9" s="18">
        <f t="shared" si="22"/>
        <v>0.50166666666666671</v>
      </c>
      <c r="S9" s="18">
        <f t="shared" si="22"/>
        <v>0.49954655172413792</v>
      </c>
      <c r="T9" s="18">
        <f t="shared" si="22"/>
        <v>0.52192982456140347</v>
      </c>
      <c r="U9" s="18" t="e">
        <f t="shared" si="22"/>
        <v>#DIV/0!</v>
      </c>
      <c r="V9" s="18" t="e">
        <f t="shared" si="22"/>
        <v>#DIV/0!</v>
      </c>
      <c r="W9" s="18" t="e">
        <f t="shared" si="22"/>
        <v>#DIV/0!</v>
      </c>
      <c r="X9" s="18" t="e">
        <f t="shared" si="22"/>
        <v>#DIV/0!</v>
      </c>
      <c r="Y9" s="18" t="e">
        <f t="shared" si="22"/>
        <v>#DIV/0!</v>
      </c>
      <c r="Z9" s="18" t="e">
        <f t="shared" si="22"/>
        <v>#DIV/0!</v>
      </c>
      <c r="AA9" s="18" t="e">
        <f t="shared" si="22"/>
        <v>#DIV/0!</v>
      </c>
      <c r="AB9" s="18" t="e">
        <f t="shared" si="22"/>
        <v>#DIV/0!</v>
      </c>
      <c r="AC9" s="18">
        <f t="shared" si="22"/>
        <v>0.50718871331828441</v>
      </c>
      <c r="AE9" s="32" t="s">
        <v>39</v>
      </c>
      <c r="AF9" s="18">
        <f t="shared" ref="AF9:AR9" ca="1" si="23">AF8/AF3</f>
        <v>0.38309372978529127</v>
      </c>
      <c r="AG9" s="18">
        <f t="shared" ca="1" si="23"/>
        <v>0.51081179179947589</v>
      </c>
      <c r="AH9" s="18">
        <f t="shared" ca="1" si="23"/>
        <v>0.40260036161979446</v>
      </c>
      <c r="AI9" s="18">
        <f t="shared" ca="1" si="23"/>
        <v>0.46493452522418638</v>
      </c>
      <c r="AJ9" s="18">
        <f t="shared" ca="1" si="23"/>
        <v>0.48905350102631967</v>
      </c>
      <c r="AK9" s="18">
        <f t="shared" ca="1" si="23"/>
        <v>0.45277570095597686</v>
      </c>
      <c r="AL9" s="18">
        <f t="shared" ca="1" si="23"/>
        <v>0.51609844314120035</v>
      </c>
      <c r="AM9" s="18">
        <f t="shared" ca="1" si="23"/>
        <v>0.56383232494090596</v>
      </c>
      <c r="AN9" s="18">
        <f t="shared" ca="1" si="23"/>
        <v>0.51748753395847813</v>
      </c>
      <c r="AO9" s="18">
        <f t="shared" ca="1" si="23"/>
        <v>0.58203296444152675</v>
      </c>
      <c r="AP9" s="18">
        <f t="shared" ca="1" si="23"/>
        <v>0.5277298759408674</v>
      </c>
      <c r="AQ9" s="18">
        <f t="shared" ca="1" si="23"/>
        <v>0.52500295148144982</v>
      </c>
      <c r="AR9" s="18">
        <f t="shared" ca="1" si="23"/>
        <v>0.49264391151646192</v>
      </c>
    </row>
    <row r="10" spans="1:47" ht="7.15" customHeight="1" x14ac:dyDescent="0.25">
      <c r="A10" s="11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0"/>
      <c r="P10" s="11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0"/>
      <c r="AE10" s="11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0"/>
    </row>
    <row r="11" spans="1:47" x14ac:dyDescent="0.25">
      <c r="A11" s="42" t="s">
        <v>25</v>
      </c>
      <c r="B11" s="43">
        <f>SUM(B12:B19)</f>
        <v>1965.4166666666667</v>
      </c>
      <c r="C11" s="43">
        <f t="shared" ref="C11:M11" si="24">SUM(C12:C19)</f>
        <v>1843.4166666666667</v>
      </c>
      <c r="D11" s="43">
        <f t="shared" si="24"/>
        <v>1858.4166666666667</v>
      </c>
      <c r="E11" s="43">
        <f t="shared" si="24"/>
        <v>1925.4166666666667</v>
      </c>
      <c r="F11" s="43">
        <f t="shared" si="24"/>
        <v>1928.4166666666667</v>
      </c>
      <c r="G11" s="43">
        <f t="shared" si="24"/>
        <v>1842.4166666666667</v>
      </c>
      <c r="H11" s="43">
        <f t="shared" si="24"/>
        <v>3101.416666666667</v>
      </c>
      <c r="I11" s="43">
        <f t="shared" si="24"/>
        <v>1856.4166666666667</v>
      </c>
      <c r="J11" s="43">
        <f t="shared" si="24"/>
        <v>1904.4166666666667</v>
      </c>
      <c r="K11" s="43">
        <f t="shared" si="24"/>
        <v>1945.4166666666667</v>
      </c>
      <c r="L11" s="43">
        <f t="shared" si="24"/>
        <v>1844.4166666666667</v>
      </c>
      <c r="M11" s="43">
        <f t="shared" si="24"/>
        <v>2047.4166666666667</v>
      </c>
      <c r="N11" s="41">
        <f>SUM(B11:M11)</f>
        <v>24063.000000000004</v>
      </c>
      <c r="P11" s="26" t="s">
        <v>25</v>
      </c>
      <c r="Q11" s="27">
        <f>SUM(Q12:Q19)</f>
        <v>2114.1566666666668</v>
      </c>
      <c r="R11" s="27">
        <f t="shared" ref="R11:AB11" si="25">SUM(R12:R19)</f>
        <v>1991.3366666666668</v>
      </c>
      <c r="S11" s="27">
        <f t="shared" si="25"/>
        <v>3130.7066666666665</v>
      </c>
      <c r="T11" s="27">
        <f t="shared" si="25"/>
        <v>2589.1966666666667</v>
      </c>
      <c r="U11" s="27">
        <f t="shared" si="25"/>
        <v>0</v>
      </c>
      <c r="V11" s="27">
        <f t="shared" si="25"/>
        <v>0</v>
      </c>
      <c r="W11" s="27">
        <f t="shared" si="25"/>
        <v>0</v>
      </c>
      <c r="X11" s="27">
        <f t="shared" si="25"/>
        <v>0</v>
      </c>
      <c r="Y11" s="27">
        <f t="shared" si="25"/>
        <v>0</v>
      </c>
      <c r="Z11" s="27">
        <f t="shared" si="25"/>
        <v>0</v>
      </c>
      <c r="AA11" s="27">
        <f t="shared" si="25"/>
        <v>0</v>
      </c>
      <c r="AB11" s="27">
        <f t="shared" si="25"/>
        <v>0</v>
      </c>
      <c r="AC11" s="28">
        <f>SUM(Q11:AB11)</f>
        <v>9825.3966666666674</v>
      </c>
      <c r="AE11" s="52" t="s">
        <v>25</v>
      </c>
      <c r="AF11" s="53">
        <f ca="1">SUM(AF12:AF19)</f>
        <v>2010.0333333333335</v>
      </c>
      <c r="AG11" s="53">
        <f t="shared" ref="AG11:AQ11" ca="1" si="26">SUM(AG12:AG19)</f>
        <v>1892.4891666666667</v>
      </c>
      <c r="AH11" s="53">
        <f t="shared" ca="1" si="26"/>
        <v>1909.3275000000001</v>
      </c>
      <c r="AI11" s="53">
        <f t="shared" ca="1" si="26"/>
        <v>1972.7674999999999</v>
      </c>
      <c r="AJ11" s="53">
        <f t="shared" ca="1" si="26"/>
        <v>1988.6975</v>
      </c>
      <c r="AK11" s="53">
        <f t="shared" ca="1" si="26"/>
        <v>1891.4391666666666</v>
      </c>
      <c r="AL11" s="53">
        <f t="shared" ca="1" si="26"/>
        <v>3143.893333333333</v>
      </c>
      <c r="AM11" s="53">
        <f t="shared" ca="1" si="26"/>
        <v>1908.3691666666668</v>
      </c>
      <c r="AN11" s="53">
        <f t="shared" ca="1" si="26"/>
        <v>1953.2433333333336</v>
      </c>
      <c r="AO11" s="53">
        <f t="shared" ca="1" si="26"/>
        <v>2003.5991666666669</v>
      </c>
      <c r="AP11" s="53">
        <f t="shared" ca="1" si="26"/>
        <v>1896.6633333333332</v>
      </c>
      <c r="AQ11" s="53">
        <f t="shared" ca="1" si="26"/>
        <v>2097.2591666666667</v>
      </c>
      <c r="AR11" s="54">
        <f ca="1">SUM(AF11:AQ11)</f>
        <v>24667.781666666666</v>
      </c>
    </row>
    <row r="12" spans="1:47" outlineLevel="1" x14ac:dyDescent="0.25">
      <c r="A12" s="29" t="s">
        <v>44</v>
      </c>
      <c r="B12" s="30">
        <f>Gastos!C3</f>
        <v>664</v>
      </c>
      <c r="C12" s="30">
        <f>Gastos!D3</f>
        <v>664</v>
      </c>
      <c r="D12" s="30">
        <f>Gastos!E3</f>
        <v>664</v>
      </c>
      <c r="E12" s="30">
        <f>Gastos!F3</f>
        <v>664</v>
      </c>
      <c r="F12" s="30">
        <f>Gastos!G3</f>
        <v>664</v>
      </c>
      <c r="G12" s="30">
        <f>Gastos!H3</f>
        <v>664</v>
      </c>
      <c r="H12" s="30">
        <f>Gastos!I3</f>
        <v>664</v>
      </c>
      <c r="I12" s="30">
        <f>Gastos!J3</f>
        <v>664</v>
      </c>
      <c r="J12" s="30">
        <f>Gastos!K3</f>
        <v>664</v>
      </c>
      <c r="K12" s="30">
        <f>Gastos!L3</f>
        <v>664</v>
      </c>
      <c r="L12" s="30">
        <f>Gastos!M3</f>
        <v>664</v>
      </c>
      <c r="M12" s="30">
        <f>Gastos!N3</f>
        <v>664</v>
      </c>
      <c r="N12" s="22">
        <f>SUM(B12:M12)</f>
        <v>7968</v>
      </c>
      <c r="P12" s="29" t="s">
        <v>44</v>
      </c>
      <c r="Q12" s="30">
        <f>Gastos!Q3</f>
        <v>678.34</v>
      </c>
      <c r="R12" s="30">
        <f>Gastos!R3</f>
        <v>678.34</v>
      </c>
      <c r="S12" s="30">
        <f>Gastos!S3</f>
        <v>678.34</v>
      </c>
      <c r="T12" s="30">
        <f>Gastos!T3</f>
        <v>678.34</v>
      </c>
      <c r="U12" s="30">
        <f>Gastos!U3</f>
        <v>0</v>
      </c>
      <c r="V12" s="30">
        <f>Gastos!V3</f>
        <v>0</v>
      </c>
      <c r="W12" s="30">
        <f>Gastos!W3</f>
        <v>0</v>
      </c>
      <c r="X12" s="30">
        <f>Gastos!X3</f>
        <v>0</v>
      </c>
      <c r="Y12" s="30">
        <f>Gastos!Y3</f>
        <v>0</v>
      </c>
      <c r="Z12" s="30">
        <f>Gastos!Z3</f>
        <v>0</v>
      </c>
      <c r="AA12" s="30">
        <f>Gastos!AA3</f>
        <v>0</v>
      </c>
      <c r="AB12" s="30">
        <f>Gastos!AB3</f>
        <v>0</v>
      </c>
      <c r="AC12" s="21">
        <f>SUM(Q12:AB12)</f>
        <v>2713.36</v>
      </c>
      <c r="AE12" s="29" t="s">
        <v>44</v>
      </c>
      <c r="AF12" s="85">
        <f>B12</f>
        <v>664</v>
      </c>
      <c r="AG12" s="85">
        <f t="shared" ref="AG12:AQ12" si="27">C12</f>
        <v>664</v>
      </c>
      <c r="AH12" s="85">
        <f t="shared" si="27"/>
        <v>664</v>
      </c>
      <c r="AI12" s="85">
        <f t="shared" si="27"/>
        <v>664</v>
      </c>
      <c r="AJ12" s="85">
        <f t="shared" si="27"/>
        <v>664</v>
      </c>
      <c r="AK12" s="85">
        <f t="shared" si="27"/>
        <v>664</v>
      </c>
      <c r="AL12" s="85">
        <f t="shared" si="27"/>
        <v>664</v>
      </c>
      <c r="AM12" s="85">
        <f t="shared" si="27"/>
        <v>664</v>
      </c>
      <c r="AN12" s="85">
        <f t="shared" si="27"/>
        <v>664</v>
      </c>
      <c r="AO12" s="85">
        <f t="shared" si="27"/>
        <v>664</v>
      </c>
      <c r="AP12" s="85">
        <f t="shared" si="27"/>
        <v>664</v>
      </c>
      <c r="AQ12" s="85">
        <f t="shared" si="27"/>
        <v>664</v>
      </c>
      <c r="AR12" s="22">
        <f>SUM(AF12:AQ12)</f>
        <v>7968</v>
      </c>
    </row>
    <row r="13" spans="1:47" outlineLevel="1" x14ac:dyDescent="0.25">
      <c r="A13" s="29" t="s">
        <v>33</v>
      </c>
      <c r="B13" s="30">
        <f>Gastos!C11+Gastos!C12+Gastos!C13</f>
        <v>243</v>
      </c>
      <c r="C13" s="30">
        <f>Gastos!D11+Gastos!D12+Gastos!D13</f>
        <v>121</v>
      </c>
      <c r="D13" s="30">
        <f>Gastos!E11+Gastos!E12+Gastos!E13</f>
        <v>136</v>
      </c>
      <c r="E13" s="30">
        <f>Gastos!F11+Gastos!F12+Gastos!F13</f>
        <v>203</v>
      </c>
      <c r="F13" s="30">
        <f>Gastos!G11+Gastos!G12+Gastos!G13</f>
        <v>147</v>
      </c>
      <c r="G13" s="30">
        <f>Gastos!H11+Gastos!H12+Gastos!H13</f>
        <v>120</v>
      </c>
      <c r="H13" s="30">
        <f>Gastos!I11+Gastos!I12+Gastos!I13</f>
        <v>220</v>
      </c>
      <c r="I13" s="30">
        <f>Gastos!J11+Gastos!J12+Gastos!J13</f>
        <v>134</v>
      </c>
      <c r="J13" s="30">
        <f>Gastos!K11+Gastos!K12+Gastos!K13</f>
        <v>182</v>
      </c>
      <c r="K13" s="30">
        <f>Gastos!L11+Gastos!L12+Gastos!L13</f>
        <v>223</v>
      </c>
      <c r="L13" s="30">
        <f>Gastos!M11+Gastos!M12+Gastos!M13</f>
        <v>122</v>
      </c>
      <c r="M13" s="30">
        <f>Gastos!N11+Gastos!N12+Gastos!N13</f>
        <v>153</v>
      </c>
      <c r="N13" s="22">
        <f t="shared" ref="N13:N19" si="28">SUM(B13:M13)</f>
        <v>2004</v>
      </c>
      <c r="P13" s="29" t="s">
        <v>33</v>
      </c>
      <c r="Q13" s="30">
        <f>Gastos!Q11+Gastos!Q12+Gastos!Q13</f>
        <v>365.93</v>
      </c>
      <c r="R13" s="30">
        <f>Gastos!R11+Gastos!R12+Gastos!R13</f>
        <v>243.10999999999999</v>
      </c>
      <c r="S13" s="30">
        <f>Gastos!S11+Gastos!S12+Gastos!S13</f>
        <v>182.48000000000002</v>
      </c>
      <c r="T13" s="30">
        <f>Gastos!T11+Gastos!T12+Gastos!T13</f>
        <v>279.85000000000002</v>
      </c>
      <c r="U13" s="30">
        <f>Gastos!U11+Gastos!U12+Gastos!U13</f>
        <v>0</v>
      </c>
      <c r="V13" s="30">
        <f>Gastos!V11+Gastos!V12+Gastos!V13</f>
        <v>0</v>
      </c>
      <c r="W13" s="30">
        <f>Gastos!W11+Gastos!W12+Gastos!W13</f>
        <v>0</v>
      </c>
      <c r="X13" s="30">
        <f>Gastos!X11+Gastos!X12+Gastos!X13</f>
        <v>0</v>
      </c>
      <c r="Y13" s="30">
        <f>Gastos!Y11+Gastos!Y12+Gastos!Y13</f>
        <v>0</v>
      </c>
      <c r="Z13" s="30">
        <f>Gastos!Z11+Gastos!Z12+Gastos!Z13</f>
        <v>0</v>
      </c>
      <c r="AA13" s="30">
        <f>Gastos!AA11+Gastos!AA12+Gastos!AA13</f>
        <v>0</v>
      </c>
      <c r="AB13" s="30">
        <f>Gastos!AB11+Gastos!AB12+Gastos!AB13</f>
        <v>0</v>
      </c>
      <c r="AC13" s="21">
        <f t="shared" ref="AC13:AC19" si="29">SUM(Q13:AB13)</f>
        <v>1071.3699999999999</v>
      </c>
      <c r="AE13" s="29" t="s">
        <v>33</v>
      </c>
      <c r="AF13" s="86">
        <f t="shared" ref="AF13:AF18" ca="1" si="30">((RANDBETWEEN($AT$8,$AU$8)*B13)/100)+B13</f>
        <v>255.15</v>
      </c>
      <c r="AG13" s="86">
        <f t="shared" ref="AG13:AG18" ca="1" si="31">((RANDBETWEEN($AT$8,$AU$8)*C13)/100)+C13</f>
        <v>125.84</v>
      </c>
      <c r="AH13" s="86">
        <f t="shared" ref="AH13:AH18" ca="1" si="32">((RANDBETWEEN($AT$8,$AU$8)*D13)/100)+D13</f>
        <v>141.44</v>
      </c>
      <c r="AI13" s="86">
        <f t="shared" ref="AI13:AI18" ca="1" si="33">((RANDBETWEEN($AT$8,$AU$8)*E13)/100)+E13</f>
        <v>211.12</v>
      </c>
      <c r="AJ13" s="86">
        <f t="shared" ref="AJ13:AJ18" ca="1" si="34">((RANDBETWEEN($AT$8,$AU$8)*F13)/100)+F13</f>
        <v>151.41</v>
      </c>
      <c r="AK13" s="86">
        <f t="shared" ref="AK13:AK18" ca="1" si="35">((RANDBETWEEN($AT$8,$AU$8)*G13)/100)+G13</f>
        <v>126</v>
      </c>
      <c r="AL13" s="86">
        <f t="shared" ref="AL13:AL18" ca="1" si="36">((RANDBETWEEN($AT$8,$AU$8)*H13)/100)+H13</f>
        <v>228.8</v>
      </c>
      <c r="AM13" s="86">
        <f t="shared" ref="AM13:AM18" ca="1" si="37">((RANDBETWEEN($AT$8,$AU$8)*I13)/100)+I13</f>
        <v>140.69999999999999</v>
      </c>
      <c r="AN13" s="86">
        <f t="shared" ref="AN13:AN18" ca="1" si="38">((RANDBETWEEN($AT$8,$AU$8)*J13)/100)+J13</f>
        <v>191.1</v>
      </c>
      <c r="AO13" s="86">
        <f t="shared" ref="AO13:AO18" ca="1" si="39">((RANDBETWEEN($AT$8,$AU$8)*K13)/100)+K13</f>
        <v>229.69</v>
      </c>
      <c r="AP13" s="86">
        <f t="shared" ref="AP13:AP18" ca="1" si="40">((RANDBETWEEN($AT$8,$AU$8)*L13)/100)+L13</f>
        <v>126.88</v>
      </c>
      <c r="AQ13" s="86">
        <f t="shared" ref="AQ13:AQ18" ca="1" si="41">((RANDBETWEEN($AT$8,$AU$8)*M13)/100)+M13</f>
        <v>157.59</v>
      </c>
      <c r="AR13" s="22">
        <f t="shared" ref="AR13:AR19" ca="1" si="42">SUM(AF13:AQ13)</f>
        <v>2085.7200000000003</v>
      </c>
    </row>
    <row r="14" spans="1:47" outlineLevel="1" x14ac:dyDescent="0.25">
      <c r="A14" s="29" t="s">
        <v>34</v>
      </c>
      <c r="B14" s="30">
        <f>Gastos!C17+Gastos!C10</f>
        <v>503</v>
      </c>
      <c r="C14" s="30">
        <f>Gastos!D17+Gastos!D10</f>
        <v>503</v>
      </c>
      <c r="D14" s="30">
        <f>Gastos!E17+Gastos!E10</f>
        <v>503</v>
      </c>
      <c r="E14" s="30">
        <f>Gastos!F17+Gastos!F10</f>
        <v>503</v>
      </c>
      <c r="F14" s="30">
        <f>Gastos!G17+Gastos!G10</f>
        <v>503</v>
      </c>
      <c r="G14" s="30">
        <f>Gastos!H17+Gastos!H10</f>
        <v>503</v>
      </c>
      <c r="H14" s="30">
        <f>Gastos!I17+Gastos!I10</f>
        <v>503</v>
      </c>
      <c r="I14" s="30">
        <f>Gastos!J17+Gastos!J10</f>
        <v>503</v>
      </c>
      <c r="J14" s="30">
        <f>Gastos!K17+Gastos!K10</f>
        <v>503</v>
      </c>
      <c r="K14" s="30">
        <f>Gastos!L17+Gastos!L10</f>
        <v>503</v>
      </c>
      <c r="L14" s="30">
        <f>Gastos!M17+Gastos!M10</f>
        <v>503</v>
      </c>
      <c r="M14" s="30">
        <f>Gastos!N17+Gastos!N10</f>
        <v>503</v>
      </c>
      <c r="N14" s="22">
        <f t="shared" si="28"/>
        <v>6036</v>
      </c>
      <c r="P14" s="29" t="s">
        <v>34</v>
      </c>
      <c r="Q14" s="30">
        <f>Gastos!Q10+Gastos!Q17</f>
        <v>514.22</v>
      </c>
      <c r="R14" s="30">
        <f>Gastos!R10+Gastos!R17</f>
        <v>514.22</v>
      </c>
      <c r="S14" s="30">
        <f>Gastos!S10+Gastos!S17</f>
        <v>514.22</v>
      </c>
      <c r="T14" s="30">
        <f>Gastos!T10+Gastos!T17</f>
        <v>514.22</v>
      </c>
      <c r="U14" s="30">
        <f>Gastos!U10+Gastos!U17</f>
        <v>0</v>
      </c>
      <c r="V14" s="30">
        <f>Gastos!V10+Gastos!V17</f>
        <v>0</v>
      </c>
      <c r="W14" s="30">
        <f>Gastos!W10+Gastos!W17</f>
        <v>0</v>
      </c>
      <c r="X14" s="30">
        <f>Gastos!X10+Gastos!X17</f>
        <v>0</v>
      </c>
      <c r="Y14" s="30">
        <f>Gastos!Y10+Gastos!Y17</f>
        <v>0</v>
      </c>
      <c r="Z14" s="30">
        <f>Gastos!Z10+Gastos!Z17</f>
        <v>0</v>
      </c>
      <c r="AA14" s="30">
        <f>Gastos!AA10+Gastos!AA17</f>
        <v>0</v>
      </c>
      <c r="AB14" s="30">
        <f>Gastos!AB10+Gastos!AB17</f>
        <v>0</v>
      </c>
      <c r="AC14" s="21">
        <f t="shared" si="29"/>
        <v>2056.88</v>
      </c>
      <c r="AE14" s="29" t="s">
        <v>34</v>
      </c>
      <c r="AF14" s="86">
        <f t="shared" ca="1" si="30"/>
        <v>518.09</v>
      </c>
      <c r="AG14" s="86">
        <f t="shared" ca="1" si="31"/>
        <v>528.15</v>
      </c>
      <c r="AH14" s="86">
        <f t="shared" ca="1" si="32"/>
        <v>523.12</v>
      </c>
      <c r="AI14" s="86">
        <f t="shared" ca="1" si="33"/>
        <v>518.09</v>
      </c>
      <c r="AJ14" s="86">
        <f t="shared" ca="1" si="34"/>
        <v>528.15</v>
      </c>
      <c r="AK14" s="86">
        <f t="shared" ca="1" si="35"/>
        <v>528.15</v>
      </c>
      <c r="AL14" s="86">
        <f t="shared" ca="1" si="36"/>
        <v>518.09</v>
      </c>
      <c r="AM14" s="86">
        <f t="shared" ca="1" si="37"/>
        <v>523.12</v>
      </c>
      <c r="AN14" s="86">
        <f t="shared" ca="1" si="38"/>
        <v>518.09</v>
      </c>
      <c r="AO14" s="86">
        <f t="shared" ca="1" si="39"/>
        <v>528.15</v>
      </c>
      <c r="AP14" s="86">
        <f t="shared" ca="1" si="40"/>
        <v>528.15</v>
      </c>
      <c r="AQ14" s="86">
        <f t="shared" ca="1" si="41"/>
        <v>523.12</v>
      </c>
      <c r="AR14" s="22">
        <f t="shared" ca="1" si="42"/>
        <v>6282.47</v>
      </c>
    </row>
    <row r="15" spans="1:47" outlineLevel="1" x14ac:dyDescent="0.25">
      <c r="A15" s="29" t="s">
        <v>113</v>
      </c>
      <c r="B15" s="30">
        <f>Gastos!C6</f>
        <v>0</v>
      </c>
      <c r="C15" s="30">
        <f>Gastos!D6</f>
        <v>0</v>
      </c>
      <c r="D15" s="30">
        <f>Gastos!E6</f>
        <v>0</v>
      </c>
      <c r="E15" s="30">
        <f>Gastos!F6</f>
        <v>0</v>
      </c>
      <c r="F15" s="30">
        <f>Gastos!G6</f>
        <v>0</v>
      </c>
      <c r="G15" s="30">
        <f>Gastos!H6</f>
        <v>0</v>
      </c>
      <c r="H15" s="30">
        <f>Gastos!I6</f>
        <v>0</v>
      </c>
      <c r="I15" s="30">
        <f>Gastos!J6</f>
        <v>0</v>
      </c>
      <c r="J15" s="30">
        <f>Gastos!K6</f>
        <v>0</v>
      </c>
      <c r="K15" s="30">
        <f>Gastos!L6</f>
        <v>0</v>
      </c>
      <c r="L15" s="30">
        <f>Gastos!M6</f>
        <v>0</v>
      </c>
      <c r="M15" s="30">
        <f>Gastos!N6</f>
        <v>0</v>
      </c>
      <c r="N15" s="22">
        <f t="shared" si="28"/>
        <v>0</v>
      </c>
      <c r="P15" s="29" t="s">
        <v>113</v>
      </c>
      <c r="Q15" s="30">
        <f>Gastos!Q6</f>
        <v>0</v>
      </c>
      <c r="R15" s="30">
        <f>Gastos!R6</f>
        <v>0</v>
      </c>
      <c r="S15" s="30">
        <f>Gastos!S6</f>
        <v>1200</v>
      </c>
      <c r="T15" s="30">
        <f>Gastos!T6</f>
        <v>561.12</v>
      </c>
      <c r="U15" s="30">
        <f>Gastos!U6</f>
        <v>0</v>
      </c>
      <c r="V15" s="30">
        <f>Gastos!V6</f>
        <v>0</v>
      </c>
      <c r="W15" s="30">
        <f>Gastos!W6</f>
        <v>0</v>
      </c>
      <c r="X15" s="30">
        <f>Gastos!X6</f>
        <v>0</v>
      </c>
      <c r="Y15" s="30">
        <f>Gastos!Y6</f>
        <v>0</v>
      </c>
      <c r="Z15" s="30">
        <f>Gastos!Z6</f>
        <v>0</v>
      </c>
      <c r="AA15" s="30">
        <f>Gastos!AA6</f>
        <v>0</v>
      </c>
      <c r="AB15" s="30">
        <f>Gastos!AB6</f>
        <v>0</v>
      </c>
      <c r="AC15" s="21">
        <f t="shared" si="29"/>
        <v>1761.12</v>
      </c>
      <c r="AE15" s="29" t="s">
        <v>35</v>
      </c>
      <c r="AF15" s="86">
        <f t="shared" ca="1" si="30"/>
        <v>0</v>
      </c>
      <c r="AG15" s="86">
        <f t="shared" ca="1" si="31"/>
        <v>0</v>
      </c>
      <c r="AH15" s="86">
        <f t="shared" ca="1" si="32"/>
        <v>0</v>
      </c>
      <c r="AI15" s="86">
        <f t="shared" ca="1" si="33"/>
        <v>0</v>
      </c>
      <c r="AJ15" s="86">
        <f t="shared" ca="1" si="34"/>
        <v>0</v>
      </c>
      <c r="AK15" s="86">
        <f t="shared" ca="1" si="35"/>
        <v>0</v>
      </c>
      <c r="AL15" s="86">
        <f t="shared" ca="1" si="36"/>
        <v>0</v>
      </c>
      <c r="AM15" s="86">
        <f t="shared" ca="1" si="37"/>
        <v>0</v>
      </c>
      <c r="AN15" s="86">
        <f t="shared" ca="1" si="38"/>
        <v>0</v>
      </c>
      <c r="AO15" s="86">
        <f t="shared" ca="1" si="39"/>
        <v>0</v>
      </c>
      <c r="AP15" s="86">
        <f t="shared" ca="1" si="40"/>
        <v>0</v>
      </c>
      <c r="AQ15" s="86">
        <f t="shared" ca="1" si="41"/>
        <v>0</v>
      </c>
      <c r="AR15" s="22">
        <f t="shared" ca="1" si="42"/>
        <v>0</v>
      </c>
    </row>
    <row r="16" spans="1:47" outlineLevel="1" x14ac:dyDescent="0.25">
      <c r="A16" s="29" t="s">
        <v>106</v>
      </c>
      <c r="B16" s="30">
        <f>Gastos!C7</f>
        <v>363</v>
      </c>
      <c r="C16" s="30">
        <f>Gastos!D7</f>
        <v>363</v>
      </c>
      <c r="D16" s="30">
        <f>Gastos!E7</f>
        <v>363</v>
      </c>
      <c r="E16" s="30">
        <f>Gastos!F7</f>
        <v>363</v>
      </c>
      <c r="F16" s="30">
        <f>Gastos!G7</f>
        <v>363</v>
      </c>
      <c r="G16" s="30">
        <f>Gastos!H7</f>
        <v>363</v>
      </c>
      <c r="H16" s="30">
        <f>Gastos!I7</f>
        <v>363</v>
      </c>
      <c r="I16" s="30">
        <f>Gastos!J7</f>
        <v>363</v>
      </c>
      <c r="J16" s="30">
        <f>Gastos!K7</f>
        <v>363</v>
      </c>
      <c r="K16" s="30">
        <f>Gastos!L7</f>
        <v>363</v>
      </c>
      <c r="L16" s="30">
        <f>Gastos!M7</f>
        <v>363</v>
      </c>
      <c r="M16" s="30">
        <f>Gastos!N7</f>
        <v>363</v>
      </c>
      <c r="N16" s="22">
        <f t="shared" si="28"/>
        <v>4356</v>
      </c>
      <c r="P16" s="29" t="s">
        <v>106</v>
      </c>
      <c r="Q16" s="30">
        <f>Gastos!Q7</f>
        <v>363</v>
      </c>
      <c r="R16" s="30">
        <f>Gastos!R7</f>
        <v>363</v>
      </c>
      <c r="S16" s="30">
        <f>Gastos!S7</f>
        <v>363</v>
      </c>
      <c r="T16" s="30">
        <f>Gastos!T7</f>
        <v>363</v>
      </c>
      <c r="U16" s="30">
        <f>Gastos!U7</f>
        <v>0</v>
      </c>
      <c r="V16" s="30">
        <f>Gastos!V7</f>
        <v>0</v>
      </c>
      <c r="W16" s="30">
        <f>Gastos!W7</f>
        <v>0</v>
      </c>
      <c r="X16" s="30">
        <f>Gastos!X7</f>
        <v>0</v>
      </c>
      <c r="Y16" s="30">
        <f>Gastos!Y7</f>
        <v>0</v>
      </c>
      <c r="Z16" s="30">
        <f>Gastos!Z7</f>
        <v>0</v>
      </c>
      <c r="AA16" s="30">
        <f>Gastos!AA7</f>
        <v>0</v>
      </c>
      <c r="AB16" s="30">
        <f>Gastos!AB7</f>
        <v>0</v>
      </c>
      <c r="AC16" s="21">
        <f t="shared" si="29"/>
        <v>1452</v>
      </c>
      <c r="AE16" s="29" t="s">
        <v>36</v>
      </c>
      <c r="AF16" s="86">
        <f t="shared" ca="1" si="30"/>
        <v>373.89</v>
      </c>
      <c r="AG16" s="86">
        <f t="shared" ca="1" si="31"/>
        <v>373.89</v>
      </c>
      <c r="AH16" s="86">
        <f t="shared" ca="1" si="32"/>
        <v>381.15</v>
      </c>
      <c r="AI16" s="86">
        <f t="shared" ca="1" si="33"/>
        <v>377.52</v>
      </c>
      <c r="AJ16" s="86">
        <f t="shared" ca="1" si="34"/>
        <v>381.15</v>
      </c>
      <c r="AK16" s="86">
        <f t="shared" ca="1" si="35"/>
        <v>373.89</v>
      </c>
      <c r="AL16" s="86">
        <f t="shared" ca="1" si="36"/>
        <v>373.89</v>
      </c>
      <c r="AM16" s="86">
        <f t="shared" ca="1" si="37"/>
        <v>381.15</v>
      </c>
      <c r="AN16" s="86">
        <f t="shared" ca="1" si="38"/>
        <v>381.15</v>
      </c>
      <c r="AO16" s="86">
        <f t="shared" ca="1" si="39"/>
        <v>381.15</v>
      </c>
      <c r="AP16" s="86">
        <f t="shared" ca="1" si="40"/>
        <v>377.52</v>
      </c>
      <c r="AQ16" s="86">
        <f t="shared" ca="1" si="41"/>
        <v>381.15</v>
      </c>
      <c r="AR16" s="22">
        <f t="shared" ca="1" si="42"/>
        <v>4537.5</v>
      </c>
    </row>
    <row r="17" spans="1:44" outlineLevel="1" x14ac:dyDescent="0.25">
      <c r="A17" s="31" t="s">
        <v>38</v>
      </c>
      <c r="B17" s="30">
        <f>Gastos!C4</f>
        <v>121</v>
      </c>
      <c r="C17" s="30">
        <f>Gastos!D4</f>
        <v>121</v>
      </c>
      <c r="D17" s="30">
        <f>Gastos!E4</f>
        <v>121</v>
      </c>
      <c r="E17" s="30">
        <f>Gastos!F4</f>
        <v>121</v>
      </c>
      <c r="F17" s="30">
        <f>Gastos!G4</f>
        <v>180</v>
      </c>
      <c r="G17" s="30">
        <f>Gastos!H4</f>
        <v>121</v>
      </c>
      <c r="H17" s="30">
        <f>Gastos!I4</f>
        <v>121</v>
      </c>
      <c r="I17" s="30">
        <f>Gastos!J4</f>
        <v>121</v>
      </c>
      <c r="J17" s="30">
        <f>Gastos!K4</f>
        <v>121</v>
      </c>
      <c r="K17" s="30">
        <f>Gastos!L4</f>
        <v>121</v>
      </c>
      <c r="L17" s="30">
        <f>Gastos!M4</f>
        <v>121</v>
      </c>
      <c r="M17" s="30">
        <f>Gastos!N4</f>
        <v>121</v>
      </c>
      <c r="N17" s="22">
        <f t="shared" si="28"/>
        <v>1511</v>
      </c>
      <c r="P17" s="31" t="s">
        <v>38</v>
      </c>
      <c r="Q17" s="30">
        <f>Gastos!Q4</f>
        <v>121</v>
      </c>
      <c r="R17" s="30">
        <f>Gastos!R4</f>
        <v>121</v>
      </c>
      <c r="S17" s="30">
        <f>Gastos!S4</f>
        <v>121</v>
      </c>
      <c r="T17" s="30">
        <f>Gastos!T4</f>
        <v>121</v>
      </c>
      <c r="U17" s="30">
        <f>Gastos!U4</f>
        <v>0</v>
      </c>
      <c r="V17" s="30">
        <f>Gastos!V4</f>
        <v>0</v>
      </c>
      <c r="W17" s="30">
        <f>Gastos!W4</f>
        <v>0</v>
      </c>
      <c r="X17" s="30">
        <f>Gastos!X4</f>
        <v>0</v>
      </c>
      <c r="Y17" s="30">
        <f>Gastos!Y4</f>
        <v>0</v>
      </c>
      <c r="Z17" s="30">
        <f>Gastos!Z4</f>
        <v>0</v>
      </c>
      <c r="AA17" s="30">
        <f>Gastos!AA4</f>
        <v>0</v>
      </c>
      <c r="AB17" s="30">
        <f>Gastos!AB4</f>
        <v>0</v>
      </c>
      <c r="AC17" s="21">
        <f t="shared" si="29"/>
        <v>484</v>
      </c>
      <c r="AE17" s="31" t="s">
        <v>38</v>
      </c>
      <c r="AF17" s="86">
        <f t="shared" ca="1" si="30"/>
        <v>124.63</v>
      </c>
      <c r="AG17" s="86">
        <f t="shared" ca="1" si="31"/>
        <v>127.05</v>
      </c>
      <c r="AH17" s="86">
        <f t="shared" ca="1" si="32"/>
        <v>124.63</v>
      </c>
      <c r="AI17" s="86">
        <f t="shared" ca="1" si="33"/>
        <v>127.05</v>
      </c>
      <c r="AJ17" s="86">
        <f t="shared" ca="1" si="34"/>
        <v>189</v>
      </c>
      <c r="AK17" s="86">
        <f t="shared" ca="1" si="35"/>
        <v>125.84</v>
      </c>
      <c r="AL17" s="86">
        <f t="shared" ca="1" si="36"/>
        <v>125.84</v>
      </c>
      <c r="AM17" s="86">
        <f t="shared" ca="1" si="37"/>
        <v>125.84</v>
      </c>
      <c r="AN17" s="86">
        <f t="shared" ca="1" si="38"/>
        <v>124.63</v>
      </c>
      <c r="AO17" s="86">
        <f t="shared" ca="1" si="39"/>
        <v>127.05</v>
      </c>
      <c r="AP17" s="86">
        <f t="shared" ca="1" si="40"/>
        <v>125.84</v>
      </c>
      <c r="AQ17" s="86">
        <f t="shared" ca="1" si="41"/>
        <v>125.84</v>
      </c>
      <c r="AR17" s="22">
        <f t="shared" ca="1" si="42"/>
        <v>1573.24</v>
      </c>
    </row>
    <row r="18" spans="1:44" outlineLevel="1" x14ac:dyDescent="0.25">
      <c r="A18" s="29" t="s">
        <v>43</v>
      </c>
      <c r="B18" s="30">
        <f>Gastos!C18+Gastos!C19+Gastos!C20</f>
        <v>71.416666666666671</v>
      </c>
      <c r="C18" s="30">
        <f>Gastos!D18+Gastos!D19+Gastos!D20</f>
        <v>71.416666666666671</v>
      </c>
      <c r="D18" s="30">
        <f>Gastos!E18+Gastos!E19+Gastos!E20</f>
        <v>71.416666666666671</v>
      </c>
      <c r="E18" s="30">
        <f>Gastos!F18+Gastos!F19+Gastos!F20</f>
        <v>71.416666666666671</v>
      </c>
      <c r="F18" s="30">
        <f>Gastos!G18+Gastos!G19+Gastos!G20</f>
        <v>71.416666666666671</v>
      </c>
      <c r="G18" s="30">
        <f>Gastos!H18+Gastos!H19+Gastos!H20</f>
        <v>71.416666666666671</v>
      </c>
      <c r="H18" s="30">
        <f>Gastos!I18+Gastos!I19+Gastos!I20</f>
        <v>71.416666666666671</v>
      </c>
      <c r="I18" s="30">
        <f>Gastos!J18+Gastos!J19+Gastos!J20</f>
        <v>71.416666666666671</v>
      </c>
      <c r="J18" s="30">
        <f>Gastos!K18+Gastos!K19+Gastos!K20</f>
        <v>71.416666666666671</v>
      </c>
      <c r="K18" s="30">
        <f>Gastos!L18+Gastos!L19+Gastos!L20</f>
        <v>71.416666666666671</v>
      </c>
      <c r="L18" s="30">
        <f>Gastos!M18+Gastos!M19+Gastos!M20</f>
        <v>71.416666666666671</v>
      </c>
      <c r="M18" s="30">
        <f>Gastos!N18+Gastos!N19+Gastos!N20</f>
        <v>71.416666666666671</v>
      </c>
      <c r="N18" s="22">
        <f t="shared" si="28"/>
        <v>856.99999999999989</v>
      </c>
      <c r="P18" s="29" t="s">
        <v>43</v>
      </c>
      <c r="Q18" s="30">
        <f>Gastos!Q18+Gastos!Q19+Gastos!Q20</f>
        <v>71.666666666666671</v>
      </c>
      <c r="R18" s="30">
        <f>Gastos!R18+Gastos!R19+Gastos!R20</f>
        <v>71.666666666666671</v>
      </c>
      <c r="S18" s="30">
        <f>Gastos!S18+Gastos!S19+Gastos!S20</f>
        <v>71.666666666666671</v>
      </c>
      <c r="T18" s="30">
        <f>Gastos!T18+Gastos!T19+Gastos!T20</f>
        <v>71.666666666666671</v>
      </c>
      <c r="U18" s="30">
        <f>Gastos!U18+Gastos!U19+Gastos!U20</f>
        <v>0</v>
      </c>
      <c r="V18" s="30">
        <f>Gastos!V18+Gastos!V19+Gastos!V20</f>
        <v>0</v>
      </c>
      <c r="W18" s="30">
        <f>Gastos!W18+Gastos!W19+Gastos!W20</f>
        <v>0</v>
      </c>
      <c r="X18" s="30">
        <f>Gastos!X18+Gastos!X19+Gastos!X20</f>
        <v>0</v>
      </c>
      <c r="Y18" s="30">
        <f>Gastos!Y18+Gastos!Y19+Gastos!Y20</f>
        <v>0</v>
      </c>
      <c r="Z18" s="30">
        <f>Gastos!Z18+Gastos!Z19+Gastos!Z20</f>
        <v>0</v>
      </c>
      <c r="AA18" s="30">
        <f>Gastos!AA18+Gastos!AA19+Gastos!AA20</f>
        <v>0</v>
      </c>
      <c r="AB18" s="30">
        <f>Gastos!AB18+Gastos!AB19+Gastos!AB20</f>
        <v>0</v>
      </c>
      <c r="AC18" s="21">
        <f t="shared" si="29"/>
        <v>286.66666666666669</v>
      </c>
      <c r="AE18" s="29" t="s">
        <v>43</v>
      </c>
      <c r="AF18" s="86">
        <f t="shared" ca="1" si="30"/>
        <v>74.273333333333341</v>
      </c>
      <c r="AG18" s="86">
        <f t="shared" ca="1" si="31"/>
        <v>73.55916666666667</v>
      </c>
      <c r="AH18" s="86">
        <f t="shared" ca="1" si="32"/>
        <v>74.987500000000011</v>
      </c>
      <c r="AI18" s="86">
        <f t="shared" ca="1" si="33"/>
        <v>74.987500000000011</v>
      </c>
      <c r="AJ18" s="86">
        <f t="shared" ca="1" si="34"/>
        <v>74.987500000000011</v>
      </c>
      <c r="AK18" s="86">
        <f t="shared" ca="1" si="35"/>
        <v>73.55916666666667</v>
      </c>
      <c r="AL18" s="86">
        <f t="shared" ca="1" si="36"/>
        <v>74.273333333333341</v>
      </c>
      <c r="AM18" s="86">
        <f t="shared" ca="1" si="37"/>
        <v>73.55916666666667</v>
      </c>
      <c r="AN18" s="86">
        <f t="shared" ca="1" si="38"/>
        <v>74.273333333333341</v>
      </c>
      <c r="AO18" s="86">
        <f t="shared" ca="1" si="39"/>
        <v>73.55916666666667</v>
      </c>
      <c r="AP18" s="86">
        <f t="shared" ca="1" si="40"/>
        <v>74.273333333333341</v>
      </c>
      <c r="AQ18" s="86">
        <f t="shared" ca="1" si="41"/>
        <v>73.55916666666667</v>
      </c>
      <c r="AR18" s="22">
        <f t="shared" ca="1" si="42"/>
        <v>889.85166666666669</v>
      </c>
    </row>
    <row r="19" spans="1:44" outlineLevel="1" x14ac:dyDescent="0.25">
      <c r="A19" s="91" t="s">
        <v>106</v>
      </c>
      <c r="B19" s="30">
        <f>Gastos!C22</f>
        <v>0</v>
      </c>
      <c r="C19" s="30">
        <f>Gastos!D22</f>
        <v>0</v>
      </c>
      <c r="D19" s="30">
        <f>Gastos!E22</f>
        <v>0</v>
      </c>
      <c r="E19" s="30">
        <f>Gastos!F22</f>
        <v>0</v>
      </c>
      <c r="F19" s="30">
        <f>Gastos!G22</f>
        <v>0</v>
      </c>
      <c r="G19" s="30">
        <f>Gastos!H22</f>
        <v>0</v>
      </c>
      <c r="H19" s="30">
        <f>Gastos!I22</f>
        <v>1159</v>
      </c>
      <c r="I19" s="30">
        <f>Gastos!J22</f>
        <v>0</v>
      </c>
      <c r="J19" s="30">
        <f>Gastos!K22</f>
        <v>0</v>
      </c>
      <c r="K19" s="30">
        <f>Gastos!L22</f>
        <v>0</v>
      </c>
      <c r="L19" s="30">
        <f>Gastos!M22</f>
        <v>0</v>
      </c>
      <c r="M19" s="30">
        <f>Gastos!N22</f>
        <v>172</v>
      </c>
      <c r="N19" s="22">
        <f t="shared" si="28"/>
        <v>1331</v>
      </c>
      <c r="P19" s="91" t="s">
        <v>106</v>
      </c>
      <c r="Q19" s="30">
        <f>Gastos!Q22</f>
        <v>0</v>
      </c>
      <c r="R19" s="30">
        <f>Gastos!R22</f>
        <v>0</v>
      </c>
      <c r="S19" s="30">
        <f>Gastos!S22</f>
        <v>0</v>
      </c>
      <c r="T19" s="30">
        <f>Gastos!T22</f>
        <v>0</v>
      </c>
      <c r="U19" s="30">
        <f>Gastos!U22</f>
        <v>0</v>
      </c>
      <c r="V19" s="30">
        <f>Gastos!V22</f>
        <v>0</v>
      </c>
      <c r="W19" s="30">
        <f>Gastos!W22</f>
        <v>0</v>
      </c>
      <c r="X19" s="30">
        <f>Gastos!X22</f>
        <v>0</v>
      </c>
      <c r="Y19" s="30">
        <f>Gastos!Y22</f>
        <v>0</v>
      </c>
      <c r="Z19" s="30">
        <f>Gastos!Z22</f>
        <v>0</v>
      </c>
      <c r="AA19" s="30">
        <f>Gastos!AA22</f>
        <v>0</v>
      </c>
      <c r="AB19" s="30">
        <f>Gastos!AB22</f>
        <v>0</v>
      </c>
      <c r="AC19" s="21">
        <f t="shared" si="29"/>
        <v>0</v>
      </c>
      <c r="AE19" s="91" t="s">
        <v>106</v>
      </c>
      <c r="AF19" s="86">
        <f>B19</f>
        <v>0</v>
      </c>
      <c r="AG19" s="86">
        <f t="shared" ref="AG19:AQ19" si="43">C19</f>
        <v>0</v>
      </c>
      <c r="AH19" s="86">
        <f t="shared" si="43"/>
        <v>0</v>
      </c>
      <c r="AI19" s="86">
        <f t="shared" si="43"/>
        <v>0</v>
      </c>
      <c r="AJ19" s="86">
        <f t="shared" si="43"/>
        <v>0</v>
      </c>
      <c r="AK19" s="86">
        <f t="shared" si="43"/>
        <v>0</v>
      </c>
      <c r="AL19" s="86">
        <f t="shared" si="43"/>
        <v>1159</v>
      </c>
      <c r="AM19" s="86">
        <f t="shared" si="43"/>
        <v>0</v>
      </c>
      <c r="AN19" s="86">
        <f t="shared" si="43"/>
        <v>0</v>
      </c>
      <c r="AO19" s="86">
        <f t="shared" si="43"/>
        <v>0</v>
      </c>
      <c r="AP19" s="86">
        <f t="shared" si="43"/>
        <v>0</v>
      </c>
      <c r="AQ19" s="86">
        <f t="shared" si="43"/>
        <v>172</v>
      </c>
      <c r="AR19" s="22">
        <f t="shared" si="42"/>
        <v>1331</v>
      </c>
    </row>
    <row r="20" spans="1:44" x14ac:dyDescent="0.25">
      <c r="A20" s="32" t="s">
        <v>40</v>
      </c>
      <c r="B20" s="19">
        <v>0.42717939100351543</v>
      </c>
      <c r="C20" s="19">
        <v>0.42720796837481023</v>
      </c>
      <c r="D20" s="19">
        <v>0.30379999786119982</v>
      </c>
      <c r="E20" s="19">
        <v>0.2702081806301061</v>
      </c>
      <c r="F20" s="19">
        <v>0.49466078589878992</v>
      </c>
      <c r="G20" s="19">
        <v>0.73485426569411472</v>
      </c>
      <c r="H20" s="19">
        <v>0.25768745791473302</v>
      </c>
      <c r="I20" s="19">
        <v>0.66040712578016258</v>
      </c>
      <c r="J20" s="19">
        <v>0.42116022149354582</v>
      </c>
      <c r="K20" s="19">
        <v>0.54174809190916007</v>
      </c>
      <c r="L20" s="19">
        <v>0.51419074204467063</v>
      </c>
      <c r="M20" s="19">
        <v>0.60487225535939226</v>
      </c>
      <c r="N20" s="10"/>
      <c r="P20" s="32" t="s">
        <v>40</v>
      </c>
      <c r="Q20" s="19">
        <f t="shared" ref="Q20:AB20" si="44">Q11/Q3</f>
        <v>0.20134825396825398</v>
      </c>
      <c r="R20" s="19">
        <f t="shared" si="44"/>
        <v>0.18438302469135803</v>
      </c>
      <c r="S20" s="19">
        <f t="shared" si="44"/>
        <v>0.26988850574712642</v>
      </c>
      <c r="T20" s="19">
        <f t="shared" si="44"/>
        <v>0.22712251461988303</v>
      </c>
      <c r="U20" s="19" t="e">
        <f t="shared" si="44"/>
        <v>#DIV/0!</v>
      </c>
      <c r="V20" s="19" t="e">
        <f t="shared" si="44"/>
        <v>#DIV/0!</v>
      </c>
      <c r="W20" s="19" t="e">
        <f t="shared" si="44"/>
        <v>#DIV/0!</v>
      </c>
      <c r="X20" s="19" t="e">
        <f t="shared" si="44"/>
        <v>#DIV/0!</v>
      </c>
      <c r="Y20" s="19" t="e">
        <f t="shared" si="44"/>
        <v>#DIV/0!</v>
      </c>
      <c r="Z20" s="19" t="e">
        <f t="shared" si="44"/>
        <v>#DIV/0!</v>
      </c>
      <c r="AA20" s="19" t="e">
        <f t="shared" si="44"/>
        <v>#DIV/0!</v>
      </c>
      <c r="AB20" s="19" t="e">
        <f t="shared" si="44"/>
        <v>#DIV/0!</v>
      </c>
      <c r="AC20" s="10"/>
      <c r="AE20" s="32" t="s">
        <v>40</v>
      </c>
      <c r="AF20" s="19">
        <f t="shared" ref="AF20:AQ20" ca="1" si="45">AF11/AF3</f>
        <v>0.19634436046840983</v>
      </c>
      <c r="AG20" s="19">
        <f t="shared" ca="1" si="45"/>
        <v>0.23498524081433608</v>
      </c>
      <c r="AH20" s="19">
        <f t="shared" ca="1" si="45"/>
        <v>0.15902551454461575</v>
      </c>
      <c r="AI20" s="19">
        <f t="shared" ca="1" si="45"/>
        <v>0.1754038386937391</v>
      </c>
      <c r="AJ20" s="19">
        <f t="shared" ca="1" si="45"/>
        <v>0.17878134849078398</v>
      </c>
      <c r="AK20" s="19">
        <f t="shared" ca="1" si="45"/>
        <v>0.16038851703956322</v>
      </c>
      <c r="AL20" s="19">
        <f t="shared" ca="1" si="45"/>
        <v>0.30101338227328472</v>
      </c>
      <c r="AM20" s="19">
        <f t="shared" ca="1" si="45"/>
        <v>0.1881119272879731</v>
      </c>
      <c r="AN20" s="19">
        <f t="shared" ca="1" si="45"/>
        <v>0.18029375501222814</v>
      </c>
      <c r="AO20" s="19">
        <f t="shared" ca="1" si="45"/>
        <v>0.20174674802218093</v>
      </c>
      <c r="AP20" s="19">
        <f t="shared" ca="1" si="45"/>
        <v>0.1691681929440304</v>
      </c>
      <c r="AQ20" s="19">
        <f t="shared" ca="1" si="45"/>
        <v>0.18820375572978362</v>
      </c>
      <c r="AR20" s="10"/>
    </row>
    <row r="21" spans="1:44" ht="7.15" customHeight="1" x14ac:dyDescent="0.25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0"/>
      <c r="P21" s="11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0"/>
      <c r="AE21" s="11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0"/>
    </row>
    <row r="22" spans="1:44" x14ac:dyDescent="0.25">
      <c r="A22" s="45" t="s">
        <v>27</v>
      </c>
      <c r="B22" s="46">
        <f>B8+B11+B6</f>
        <v>6464.416666666667</v>
      </c>
      <c r="C22" s="46">
        <f t="shared" ref="C22:M22" si="46">C8+C11+C6</f>
        <v>5807.416666666667</v>
      </c>
      <c r="D22" s="46">
        <f t="shared" si="46"/>
        <v>7172.416666666667</v>
      </c>
      <c r="E22" s="46">
        <f t="shared" si="46"/>
        <v>7939.416666666667</v>
      </c>
      <c r="F22" s="46">
        <f t="shared" si="46"/>
        <v>7785.416666666667</v>
      </c>
      <c r="G22" s="46">
        <f t="shared" si="46"/>
        <v>7588.416666666667</v>
      </c>
      <c r="H22" s="46">
        <f t="shared" si="46"/>
        <v>8672.4166666666679</v>
      </c>
      <c r="I22" s="46">
        <f t="shared" si="46"/>
        <v>7402.416666666667</v>
      </c>
      <c r="J22" s="46">
        <f t="shared" si="46"/>
        <v>8003.416666666667</v>
      </c>
      <c r="K22" s="46">
        <f t="shared" si="46"/>
        <v>7959.416666666667</v>
      </c>
      <c r="L22" s="46">
        <f t="shared" si="46"/>
        <v>8103.416666666667</v>
      </c>
      <c r="M22" s="46">
        <f t="shared" si="46"/>
        <v>8520.4166666666679</v>
      </c>
      <c r="N22" s="47">
        <f>SUM(B22:M22)</f>
        <v>91419.000000000015</v>
      </c>
      <c r="P22" s="13" t="s">
        <v>27</v>
      </c>
      <c r="Q22" s="14">
        <f>Q8+Q11+Q6</f>
        <v>7971.876666666667</v>
      </c>
      <c r="R22" s="14">
        <f t="shared" ref="R22:AB22" si="47">R8+R11+R6</f>
        <v>8952.3366666666661</v>
      </c>
      <c r="S22" s="14">
        <f t="shared" si="47"/>
        <v>9541.4466666666667</v>
      </c>
      <c r="T22" s="14">
        <f t="shared" si="47"/>
        <v>9035.1966666666667</v>
      </c>
      <c r="U22" s="14">
        <f t="shared" si="47"/>
        <v>0</v>
      </c>
      <c r="V22" s="14">
        <f t="shared" si="47"/>
        <v>0</v>
      </c>
      <c r="W22" s="14">
        <f t="shared" si="47"/>
        <v>0</v>
      </c>
      <c r="X22" s="14">
        <f t="shared" si="47"/>
        <v>0</v>
      </c>
      <c r="Y22" s="14">
        <f t="shared" si="47"/>
        <v>0</v>
      </c>
      <c r="Z22" s="14">
        <f t="shared" si="47"/>
        <v>0</v>
      </c>
      <c r="AA22" s="14">
        <f t="shared" si="47"/>
        <v>0</v>
      </c>
      <c r="AB22" s="14">
        <f t="shared" si="47"/>
        <v>0</v>
      </c>
      <c r="AC22" s="5">
        <f>SUM(Q22:AB22)</f>
        <v>35500.856666666667</v>
      </c>
      <c r="AE22" s="56" t="s">
        <v>27</v>
      </c>
      <c r="AF22" s="57">
        <f ca="1">AF8+AF11+AF6</f>
        <v>6681.713333333334</v>
      </c>
      <c r="AG22" s="57">
        <f t="shared" ref="AG22:AQ22" ca="1" si="48">AG8+AG11+AG6</f>
        <v>6053.769166666666</v>
      </c>
      <c r="AH22" s="57">
        <f t="shared" ca="1" si="48"/>
        <v>7382.7475000000004</v>
      </c>
      <c r="AI22" s="57">
        <f t="shared" ca="1" si="48"/>
        <v>8237.1875</v>
      </c>
      <c r="AJ22" s="57">
        <f t="shared" ca="1" si="48"/>
        <v>8131.7875000000004</v>
      </c>
      <c r="AK22" s="57">
        <f t="shared" ca="1" si="48"/>
        <v>7815.439166666667</v>
      </c>
      <c r="AL22" s="57">
        <f t="shared" ca="1" si="48"/>
        <v>8933.8533333333326</v>
      </c>
      <c r="AM22" s="57">
        <f t="shared" ca="1" si="48"/>
        <v>7676.2091666666674</v>
      </c>
      <c r="AN22" s="57">
        <f t="shared" ca="1" si="48"/>
        <v>8235.2133333333331</v>
      </c>
      <c r="AO22" s="57">
        <f t="shared" ca="1" si="48"/>
        <v>8262.7191666666658</v>
      </c>
      <c r="AP22" s="57">
        <f t="shared" ca="1" si="48"/>
        <v>8462.373333333333</v>
      </c>
      <c r="AQ22" s="57">
        <f t="shared" ca="1" si="48"/>
        <v>8764.4491666666654</v>
      </c>
      <c r="AR22" s="58">
        <f ca="1">SUM(AF22:AQ22)</f>
        <v>94637.46166666667</v>
      </c>
    </row>
    <row r="23" spans="1:44" x14ac:dyDescent="0.25">
      <c r="A23" s="6" t="s">
        <v>26</v>
      </c>
      <c r="B23" s="7">
        <f>B3-B8-B11</f>
        <v>3486.3633333333337</v>
      </c>
      <c r="C23" s="7">
        <f t="shared" ref="C23:M23" si="49">C3-C8-C11</f>
        <v>1429.3433333333335</v>
      </c>
      <c r="D23" s="7">
        <f t="shared" si="49"/>
        <v>4168.6033333333335</v>
      </c>
      <c r="E23" s="7">
        <f t="shared" si="49"/>
        <v>2999.6833333333334</v>
      </c>
      <c r="F23" s="7">
        <f t="shared" si="49"/>
        <v>2734.5033333333331</v>
      </c>
      <c r="G23" s="7">
        <f t="shared" si="49"/>
        <v>3228.2433333333329</v>
      </c>
      <c r="H23" s="7">
        <f t="shared" si="49"/>
        <v>958.3833333333323</v>
      </c>
      <c r="I23" s="7">
        <f t="shared" si="49"/>
        <v>1866.1833333333336</v>
      </c>
      <c r="J23" s="7">
        <f t="shared" si="49"/>
        <v>2239.9033333333327</v>
      </c>
      <c r="K23" s="7">
        <f t="shared" si="49"/>
        <v>1443.6633333333332</v>
      </c>
      <c r="L23" s="7">
        <f t="shared" si="49"/>
        <v>2442.4433333333336</v>
      </c>
      <c r="M23" s="7">
        <f t="shared" si="49"/>
        <v>2311.8233333333328</v>
      </c>
      <c r="N23" s="8">
        <f>SUM(B23:M23)</f>
        <v>29309.14</v>
      </c>
      <c r="P23" s="6" t="s">
        <v>26</v>
      </c>
      <c r="Q23" s="7">
        <f t="shared" ref="Q23:AB23" si="50">Q3-Q8-Q11</f>
        <v>3080.123333333333</v>
      </c>
      <c r="R23" s="7">
        <f t="shared" si="50"/>
        <v>3390.663333333333</v>
      </c>
      <c r="S23" s="7">
        <f t="shared" si="50"/>
        <v>2674.5533333333337</v>
      </c>
      <c r="T23" s="7">
        <f t="shared" si="50"/>
        <v>2860.8033333333333</v>
      </c>
      <c r="U23" s="7">
        <f t="shared" si="50"/>
        <v>0</v>
      </c>
      <c r="V23" s="7">
        <f t="shared" si="50"/>
        <v>0</v>
      </c>
      <c r="W23" s="7">
        <f t="shared" si="50"/>
        <v>0</v>
      </c>
      <c r="X23" s="7">
        <f t="shared" si="50"/>
        <v>0</v>
      </c>
      <c r="Y23" s="7">
        <f t="shared" si="50"/>
        <v>0</v>
      </c>
      <c r="Z23" s="7">
        <f t="shared" si="50"/>
        <v>0</v>
      </c>
      <c r="AA23" s="7">
        <f t="shared" si="50"/>
        <v>0</v>
      </c>
      <c r="AB23" s="7">
        <f t="shared" si="50"/>
        <v>0</v>
      </c>
      <c r="AC23" s="8">
        <f>SUM(Q23:AB23)</f>
        <v>12006.143333333333</v>
      </c>
      <c r="AE23" s="6" t="s">
        <v>26</v>
      </c>
      <c r="AF23" s="7">
        <f t="shared" ref="AF23:AQ23" ca="1" si="51">AF3-AF8-AF11</f>
        <v>4305.4124666666676</v>
      </c>
      <c r="AG23" s="7">
        <f t="shared" ca="1" si="51"/>
        <v>2047.2620333333339</v>
      </c>
      <c r="AH23" s="7">
        <f t="shared" ca="1" si="51"/>
        <v>5263.3048999999992</v>
      </c>
      <c r="AI23" s="7">
        <f t="shared" ca="1" si="51"/>
        <v>4045.1155000000008</v>
      </c>
      <c r="AJ23" s="7">
        <f t="shared" ca="1" si="51"/>
        <v>3694.8820999999998</v>
      </c>
      <c r="AK23" s="7">
        <f t="shared" ca="1" si="51"/>
        <v>4561.8998333333329</v>
      </c>
      <c r="AL23" s="7">
        <f t="shared" ca="1" si="51"/>
        <v>1910.1506666666669</v>
      </c>
      <c r="AM23" s="7">
        <f t="shared" ca="1" si="51"/>
        <v>2516.4908333333337</v>
      </c>
      <c r="AN23" s="7">
        <f t="shared" ca="1" si="51"/>
        <v>3274.1382666666659</v>
      </c>
      <c r="AO23" s="7">
        <f t="shared" ca="1" si="51"/>
        <v>2147.339633333333</v>
      </c>
      <c r="AP23" s="7">
        <f t="shared" ca="1" si="51"/>
        <v>3398.2884666666678</v>
      </c>
      <c r="AQ23" s="7">
        <f t="shared" ca="1" si="51"/>
        <v>3195.8972333333331</v>
      </c>
      <c r="AR23" s="8">
        <f ca="1">SUM(AF23:AQ23)</f>
        <v>40360.181933333326</v>
      </c>
    </row>
    <row r="24" spans="1:44" x14ac:dyDescent="0.25">
      <c r="A24" s="11"/>
      <c r="B24" s="12">
        <f>B23/B3</f>
        <v>0.37801653442165306</v>
      </c>
      <c r="C24" s="12">
        <f t="shared" ref="C24:M24" si="52">C23/C3</f>
        <v>0.19877500199329881</v>
      </c>
      <c r="D24" s="12">
        <f t="shared" si="52"/>
        <v>0.38886152575585992</v>
      </c>
      <c r="E24" s="12">
        <f t="shared" si="52"/>
        <v>0.30138181404118647</v>
      </c>
      <c r="F24" s="12">
        <f t="shared" si="52"/>
        <v>0.2777860174943857</v>
      </c>
      <c r="G24" s="12">
        <f t="shared" si="52"/>
        <v>0.31480744689081186</v>
      </c>
      <c r="H24" s="12">
        <f t="shared" si="52"/>
        <v>0.10368971884421738</v>
      </c>
      <c r="I24" s="12">
        <f t="shared" si="52"/>
        <v>0.20234893992294295</v>
      </c>
      <c r="J24" s="12">
        <f t="shared" si="52"/>
        <v>0.23363185262756775</v>
      </c>
      <c r="K24" s="12">
        <f t="shared" si="52"/>
        <v>0.16135580919510423</v>
      </c>
      <c r="L24" s="12">
        <f t="shared" si="52"/>
        <v>0.24616788921969604</v>
      </c>
      <c r="M24" s="12">
        <f t="shared" si="52"/>
        <v>0.23027871963747584</v>
      </c>
      <c r="N24" s="10"/>
      <c r="P24" s="11"/>
      <c r="Q24" s="12">
        <f t="shared" ref="Q24:AB24" si="53">Q23/Q3</f>
        <v>0.29334507936507931</v>
      </c>
      <c r="R24" s="12">
        <f t="shared" si="53"/>
        <v>0.31395030864197526</v>
      </c>
      <c r="S24" s="12">
        <f t="shared" si="53"/>
        <v>0.23056494252873566</v>
      </c>
      <c r="T24" s="12">
        <f t="shared" si="53"/>
        <v>0.25094766081871345</v>
      </c>
      <c r="U24" s="12" t="e">
        <f t="shared" si="53"/>
        <v>#DIV/0!</v>
      </c>
      <c r="V24" s="12" t="e">
        <f t="shared" si="53"/>
        <v>#DIV/0!</v>
      </c>
      <c r="W24" s="12" t="e">
        <f t="shared" si="53"/>
        <v>#DIV/0!</v>
      </c>
      <c r="X24" s="12" t="e">
        <f t="shared" si="53"/>
        <v>#DIV/0!</v>
      </c>
      <c r="Y24" s="12" t="e">
        <f t="shared" si="53"/>
        <v>#DIV/0!</v>
      </c>
      <c r="Z24" s="12" t="e">
        <f t="shared" si="53"/>
        <v>#DIV/0!</v>
      </c>
      <c r="AA24" s="12" t="e">
        <f t="shared" si="53"/>
        <v>#DIV/0!</v>
      </c>
      <c r="AB24" s="12" t="e">
        <f t="shared" si="53"/>
        <v>#DIV/0!</v>
      </c>
      <c r="AC24" s="10"/>
      <c r="AE24" s="11"/>
      <c r="AF24" s="12">
        <f t="shared" ref="AF24:AQ24" ca="1" si="54">AF23/AF3</f>
        <v>0.42056190974629887</v>
      </c>
      <c r="AG24" s="12">
        <f t="shared" ca="1" si="54"/>
        <v>0.25420296738618797</v>
      </c>
      <c r="AH24" s="12">
        <f t="shared" ca="1" si="54"/>
        <v>0.43837412383558982</v>
      </c>
      <c r="AI24" s="12">
        <f t="shared" ca="1" si="54"/>
        <v>0.35966163608207452</v>
      </c>
      <c r="AJ24" s="12">
        <f t="shared" ca="1" si="54"/>
        <v>0.3321651504828963</v>
      </c>
      <c r="AK24" s="12">
        <f t="shared" ca="1" si="54"/>
        <v>0.38683578200445989</v>
      </c>
      <c r="AL24" s="12">
        <f t="shared" ca="1" si="54"/>
        <v>0.18288817458551493</v>
      </c>
      <c r="AM24" s="12">
        <f t="shared" ca="1" si="54"/>
        <v>0.24805574777112091</v>
      </c>
      <c r="AN24" s="12">
        <f t="shared" ca="1" si="54"/>
        <v>0.30221871102929371</v>
      </c>
      <c r="AO24" s="12">
        <f t="shared" ca="1" si="54"/>
        <v>0.2162202875362923</v>
      </c>
      <c r="AP24" s="12">
        <f t="shared" ca="1" si="54"/>
        <v>0.3031019311151022</v>
      </c>
      <c r="AQ24" s="12">
        <f t="shared" ca="1" si="54"/>
        <v>0.28679329278876653</v>
      </c>
      <c r="AR24" s="10"/>
    </row>
    <row r="25" spans="1:44" ht="7.5" customHeight="1" x14ac:dyDescent="0.25">
      <c r="A25" s="11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10"/>
      <c r="P25" s="11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10"/>
      <c r="AE25" s="11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10"/>
    </row>
    <row r="26" spans="1:44" x14ac:dyDescent="0.25">
      <c r="A26" s="39" t="s">
        <v>28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1">
        <f>SUM(B26:M26)</f>
        <v>0</v>
      </c>
      <c r="P26" s="23" t="s">
        <v>28</v>
      </c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21">
        <f>SUM(Q26:AB26)</f>
        <v>0</v>
      </c>
      <c r="AE26" s="49" t="s">
        <v>28</v>
      </c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1">
        <f>SUM(AF26:AQ26)</f>
        <v>0</v>
      </c>
    </row>
    <row r="27" spans="1:44" x14ac:dyDescent="0.25">
      <c r="A27" s="39" t="s">
        <v>41</v>
      </c>
      <c r="B27" s="44">
        <f>Gastos!C5</f>
        <v>562</v>
      </c>
      <c r="C27" s="44">
        <f>Gastos!D5</f>
        <v>562</v>
      </c>
      <c r="D27" s="44">
        <f>Gastos!E5</f>
        <v>562</v>
      </c>
      <c r="E27" s="44">
        <f>Gastos!F5</f>
        <v>562</v>
      </c>
      <c r="F27" s="44">
        <f>Gastos!G5</f>
        <v>562</v>
      </c>
      <c r="G27" s="44">
        <f>Gastos!H5</f>
        <v>562</v>
      </c>
      <c r="H27" s="44">
        <f>Gastos!I5</f>
        <v>562</v>
      </c>
      <c r="I27" s="44">
        <f>Gastos!J5</f>
        <v>562</v>
      </c>
      <c r="J27" s="44">
        <f>Gastos!K5</f>
        <v>562</v>
      </c>
      <c r="K27" s="44">
        <f>Gastos!L5</f>
        <v>562</v>
      </c>
      <c r="L27" s="44">
        <f>Gastos!M5</f>
        <v>562</v>
      </c>
      <c r="M27" s="44">
        <f>Gastos!N5</f>
        <v>562</v>
      </c>
      <c r="N27" s="41">
        <f t="shared" ref="N27:N28" si="55">SUM(B27:M27)</f>
        <v>6744</v>
      </c>
      <c r="P27" s="23" t="s">
        <v>41</v>
      </c>
      <c r="Q27" s="34">
        <f>Gastos!Q5</f>
        <v>562.29999999999995</v>
      </c>
      <c r="R27" s="34">
        <f>Gastos!R5</f>
        <v>562.29999999999995</v>
      </c>
      <c r="S27" s="34">
        <f>Gastos!S5</f>
        <v>562.29999999999995</v>
      </c>
      <c r="T27" s="34">
        <f>Gastos!T5</f>
        <v>562.29999999999995</v>
      </c>
      <c r="U27" s="34">
        <f>Gastos!U5</f>
        <v>0</v>
      </c>
      <c r="V27" s="34">
        <f>Gastos!V5</f>
        <v>0</v>
      </c>
      <c r="W27" s="34">
        <f>Gastos!W5</f>
        <v>0</v>
      </c>
      <c r="X27" s="34">
        <f>Gastos!X5</f>
        <v>0</v>
      </c>
      <c r="Y27" s="34">
        <f>Gastos!Y5</f>
        <v>0</v>
      </c>
      <c r="Z27" s="34">
        <f>Gastos!Z5</f>
        <v>0</v>
      </c>
      <c r="AA27" s="34">
        <f>Gastos!AA5</f>
        <v>0</v>
      </c>
      <c r="AB27" s="34">
        <f>Gastos!AB5</f>
        <v>0</v>
      </c>
      <c r="AC27" s="21">
        <f>SUM(Q27:AB27)</f>
        <v>2249.1999999999998</v>
      </c>
      <c r="AE27" s="49" t="s">
        <v>41</v>
      </c>
      <c r="AF27" s="55">
        <f>B27</f>
        <v>562</v>
      </c>
      <c r="AG27" s="55">
        <f t="shared" ref="AG27:AQ27" si="56">C27</f>
        <v>562</v>
      </c>
      <c r="AH27" s="55">
        <f t="shared" si="56"/>
        <v>562</v>
      </c>
      <c r="AI27" s="55">
        <f t="shared" si="56"/>
        <v>562</v>
      </c>
      <c r="AJ27" s="55">
        <f t="shared" si="56"/>
        <v>562</v>
      </c>
      <c r="AK27" s="55">
        <f t="shared" si="56"/>
        <v>562</v>
      </c>
      <c r="AL27" s="55">
        <f t="shared" si="56"/>
        <v>562</v>
      </c>
      <c r="AM27" s="55">
        <f t="shared" si="56"/>
        <v>562</v>
      </c>
      <c r="AN27" s="55">
        <f t="shared" si="56"/>
        <v>562</v>
      </c>
      <c r="AO27" s="55">
        <f t="shared" si="56"/>
        <v>562</v>
      </c>
      <c r="AP27" s="55">
        <f t="shared" si="56"/>
        <v>562</v>
      </c>
      <c r="AQ27" s="55">
        <f t="shared" si="56"/>
        <v>562</v>
      </c>
      <c r="AR27" s="51">
        <f>SUM(AF27:AQ27)</f>
        <v>6744</v>
      </c>
    </row>
    <row r="28" spans="1:44" x14ac:dyDescent="0.25">
      <c r="A28" s="39" t="s">
        <v>114</v>
      </c>
      <c r="B28" s="44">
        <f>Gastos!C21</f>
        <v>3500</v>
      </c>
      <c r="C28" s="44">
        <f>Gastos!D21</f>
        <v>0</v>
      </c>
      <c r="D28" s="44">
        <f>Gastos!E21</f>
        <v>0</v>
      </c>
      <c r="E28" s="44">
        <f>Gastos!F21</f>
        <v>3770</v>
      </c>
      <c r="F28" s="44">
        <f>Gastos!G21</f>
        <v>0</v>
      </c>
      <c r="G28" s="44">
        <f>Gastos!H21</f>
        <v>0</v>
      </c>
      <c r="H28" s="44">
        <f>Gastos!I21</f>
        <v>4100</v>
      </c>
      <c r="I28" s="44">
        <f>Gastos!J21</f>
        <v>0</v>
      </c>
      <c r="J28" s="44">
        <f>Gastos!K21</f>
        <v>0</v>
      </c>
      <c r="K28" s="44">
        <f>Gastos!L21</f>
        <v>3600</v>
      </c>
      <c r="L28" s="44">
        <f>Gastos!M21</f>
        <v>0</v>
      </c>
      <c r="M28" s="44">
        <f>Gastos!N21</f>
        <v>0</v>
      </c>
      <c r="N28" s="41">
        <f t="shared" si="55"/>
        <v>14970</v>
      </c>
      <c r="P28" s="23" t="s">
        <v>114</v>
      </c>
      <c r="Q28" s="34">
        <f>Gastos!Q21</f>
        <v>3845</v>
      </c>
      <c r="R28" s="34">
        <f>Gastos!R21</f>
        <v>0</v>
      </c>
      <c r="S28" s="34">
        <f>Gastos!S21</f>
        <v>0</v>
      </c>
      <c r="T28" s="34">
        <f>Gastos!T21</f>
        <v>3800</v>
      </c>
      <c r="U28" s="34">
        <f>Gastos!U21</f>
        <v>0</v>
      </c>
      <c r="V28" s="34">
        <f>Gastos!V21</f>
        <v>1360</v>
      </c>
      <c r="W28" s="34">
        <f>Gastos!W21</f>
        <v>0</v>
      </c>
      <c r="X28" s="34">
        <f>Gastos!X21</f>
        <v>0</v>
      </c>
      <c r="Y28" s="34">
        <f>Gastos!Y21</f>
        <v>1360</v>
      </c>
      <c r="Z28" s="34">
        <f>Gastos!Z21</f>
        <v>0</v>
      </c>
      <c r="AA28" s="34">
        <f>Gastos!AA21</f>
        <v>0</v>
      </c>
      <c r="AB28" s="34">
        <f>Gastos!AB21</f>
        <v>1360</v>
      </c>
      <c r="AC28" s="21">
        <f>SUM(Q28:AB28)</f>
        <v>11725</v>
      </c>
      <c r="AE28" s="49" t="s">
        <v>114</v>
      </c>
      <c r="AF28" s="50">
        <f ca="1">((RANDBETWEEN($AT$8,$AU$8)*B28)/100)+B28</f>
        <v>3640</v>
      </c>
      <c r="AG28" s="50">
        <f t="shared" ref="AG28:AQ28" ca="1" si="57">((RANDBETWEEN($AT$8,$AU$8)*C28)/100)+C28</f>
        <v>0</v>
      </c>
      <c r="AH28" s="50">
        <f t="shared" ca="1" si="57"/>
        <v>0</v>
      </c>
      <c r="AI28" s="50">
        <f t="shared" ca="1" si="57"/>
        <v>3958.5</v>
      </c>
      <c r="AJ28" s="50">
        <f t="shared" ca="1" si="57"/>
        <v>0</v>
      </c>
      <c r="AK28" s="50">
        <f t="shared" ca="1" si="57"/>
        <v>0</v>
      </c>
      <c r="AL28" s="50">
        <f t="shared" ca="1" si="57"/>
        <v>4305</v>
      </c>
      <c r="AM28" s="50">
        <f t="shared" ca="1" si="57"/>
        <v>0</v>
      </c>
      <c r="AN28" s="50">
        <f t="shared" ca="1" si="57"/>
        <v>0</v>
      </c>
      <c r="AO28" s="50">
        <f t="shared" ca="1" si="57"/>
        <v>3708</v>
      </c>
      <c r="AP28" s="50">
        <f t="shared" ca="1" si="57"/>
        <v>0</v>
      </c>
      <c r="AQ28" s="50">
        <f t="shared" ca="1" si="57"/>
        <v>0</v>
      </c>
      <c r="AR28" s="51">
        <f ca="1">SUM(AF28:AQ28)</f>
        <v>15611.5</v>
      </c>
    </row>
    <row r="29" spans="1:44" x14ac:dyDescent="0.25">
      <c r="A29" s="35" t="s">
        <v>29</v>
      </c>
      <c r="B29" s="36">
        <f>B23-B26-B27-B28</f>
        <v>-575.63666666666631</v>
      </c>
      <c r="C29" s="36">
        <f t="shared" ref="C29:M29" si="58">C23-C26-C27-C28</f>
        <v>867.34333333333348</v>
      </c>
      <c r="D29" s="36">
        <f t="shared" si="58"/>
        <v>3606.6033333333335</v>
      </c>
      <c r="E29" s="36">
        <f t="shared" si="58"/>
        <v>-1332.3166666666666</v>
      </c>
      <c r="F29" s="36">
        <f t="shared" si="58"/>
        <v>2172.5033333333331</v>
      </c>
      <c r="G29" s="36">
        <f t="shared" si="58"/>
        <v>2666.2433333333329</v>
      </c>
      <c r="H29" s="36">
        <f t="shared" si="58"/>
        <v>-3703.6166666666677</v>
      </c>
      <c r="I29" s="36">
        <f t="shared" si="58"/>
        <v>1304.1833333333336</v>
      </c>
      <c r="J29" s="36">
        <f t="shared" si="58"/>
        <v>1677.9033333333327</v>
      </c>
      <c r="K29" s="36">
        <f t="shared" si="58"/>
        <v>-2718.336666666667</v>
      </c>
      <c r="L29" s="36">
        <f t="shared" si="58"/>
        <v>1880.4433333333336</v>
      </c>
      <c r="M29" s="36">
        <f t="shared" si="58"/>
        <v>1749.8233333333328</v>
      </c>
      <c r="N29" s="8">
        <f>SUM(B29:M29)</f>
        <v>7595.1399999999976</v>
      </c>
      <c r="P29" s="35" t="s">
        <v>29</v>
      </c>
      <c r="Q29" s="36">
        <f>Q23-Q26-Q27-Q28</f>
        <v>-1327.1766666666672</v>
      </c>
      <c r="R29" s="36">
        <f t="shared" ref="R29:AB29" si="59">R23-R26-R27-R28</f>
        <v>2828.3633333333328</v>
      </c>
      <c r="S29" s="36">
        <f t="shared" si="59"/>
        <v>2112.253333333334</v>
      </c>
      <c r="T29" s="36">
        <f t="shared" si="59"/>
        <v>-1501.4966666666669</v>
      </c>
      <c r="U29" s="36">
        <f t="shared" si="59"/>
        <v>0</v>
      </c>
      <c r="V29" s="36">
        <f t="shared" si="59"/>
        <v>-1360</v>
      </c>
      <c r="W29" s="36">
        <f t="shared" si="59"/>
        <v>0</v>
      </c>
      <c r="X29" s="36">
        <f t="shared" si="59"/>
        <v>0</v>
      </c>
      <c r="Y29" s="36">
        <f t="shared" si="59"/>
        <v>-1360</v>
      </c>
      <c r="Z29" s="36">
        <f t="shared" si="59"/>
        <v>0</v>
      </c>
      <c r="AA29" s="36">
        <f t="shared" si="59"/>
        <v>0</v>
      </c>
      <c r="AB29" s="36">
        <f t="shared" si="59"/>
        <v>-1360</v>
      </c>
      <c r="AC29" s="36">
        <f>SUM(Q29:AB29)</f>
        <v>-1968.0566666666673</v>
      </c>
      <c r="AE29" s="35" t="s">
        <v>29</v>
      </c>
      <c r="AF29" s="36">
        <f ca="1">AF23-AF26-AF27-AF28</f>
        <v>103.41246666666757</v>
      </c>
      <c r="AG29" s="36">
        <f t="shared" ref="AG29:AQ29" ca="1" si="60">AG23-AG26-AG27-AG28</f>
        <v>1485.2620333333339</v>
      </c>
      <c r="AH29" s="36">
        <f t="shared" ca="1" si="60"/>
        <v>4701.3048999999992</v>
      </c>
      <c r="AI29" s="36">
        <f t="shared" ca="1" si="60"/>
        <v>-475.38449999999921</v>
      </c>
      <c r="AJ29" s="36">
        <f t="shared" ca="1" si="60"/>
        <v>3132.8820999999998</v>
      </c>
      <c r="AK29" s="36">
        <f t="shared" ca="1" si="60"/>
        <v>3999.8998333333329</v>
      </c>
      <c r="AL29" s="36">
        <f t="shared" ca="1" si="60"/>
        <v>-2956.8493333333331</v>
      </c>
      <c r="AM29" s="36">
        <f t="shared" ca="1" si="60"/>
        <v>1954.4908333333337</v>
      </c>
      <c r="AN29" s="36">
        <f t="shared" ca="1" si="60"/>
        <v>2712.1382666666659</v>
      </c>
      <c r="AO29" s="36">
        <f t="shared" ca="1" si="60"/>
        <v>-2122.660366666667</v>
      </c>
      <c r="AP29" s="36">
        <f t="shared" ca="1" si="60"/>
        <v>2836.2884666666678</v>
      </c>
      <c r="AQ29" s="36">
        <f t="shared" ca="1" si="60"/>
        <v>2633.8972333333331</v>
      </c>
      <c r="AR29" s="36">
        <f ca="1">SUM(AF29:AQ29)</f>
        <v>18004.681933333333</v>
      </c>
    </row>
    <row r="30" spans="1:44" x14ac:dyDescent="0.25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P30" s="9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E30" s="9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</row>
    <row r="31" spans="1:44" x14ac:dyDescent="0.25">
      <c r="A31" s="15" t="s">
        <v>42</v>
      </c>
      <c r="B31" s="16">
        <f t="shared" ref="B31:M31" si="61">B29</f>
        <v>-575.63666666666631</v>
      </c>
      <c r="C31" s="16">
        <f t="shared" si="61"/>
        <v>867.34333333333348</v>
      </c>
      <c r="D31" s="16">
        <f t="shared" si="61"/>
        <v>3606.6033333333335</v>
      </c>
      <c r="E31" s="16">
        <f t="shared" si="61"/>
        <v>-1332.3166666666666</v>
      </c>
      <c r="F31" s="16">
        <f t="shared" si="61"/>
        <v>2172.5033333333331</v>
      </c>
      <c r="G31" s="16">
        <f t="shared" si="61"/>
        <v>2666.2433333333329</v>
      </c>
      <c r="H31" s="16">
        <f t="shared" si="61"/>
        <v>-3703.6166666666677</v>
      </c>
      <c r="I31" s="16">
        <f t="shared" si="61"/>
        <v>1304.1833333333336</v>
      </c>
      <c r="J31" s="16">
        <f t="shared" si="61"/>
        <v>1677.9033333333327</v>
      </c>
      <c r="K31" s="16">
        <f t="shared" si="61"/>
        <v>-2718.336666666667</v>
      </c>
      <c r="L31" s="16">
        <f t="shared" si="61"/>
        <v>1880.4433333333336</v>
      </c>
      <c r="M31" s="16">
        <f t="shared" si="61"/>
        <v>1749.8233333333328</v>
      </c>
      <c r="N31" s="16">
        <f>SUM(B31:M31)</f>
        <v>7595.1399999999976</v>
      </c>
      <c r="P31" s="15" t="s">
        <v>42</v>
      </c>
      <c r="Q31" s="16">
        <f t="shared" ref="Q31:AB31" si="62">Q29</f>
        <v>-1327.1766666666672</v>
      </c>
      <c r="R31" s="16">
        <f t="shared" si="62"/>
        <v>2828.3633333333328</v>
      </c>
      <c r="S31" s="16">
        <f t="shared" si="62"/>
        <v>2112.253333333334</v>
      </c>
      <c r="T31" s="16">
        <f t="shared" si="62"/>
        <v>-1501.4966666666669</v>
      </c>
      <c r="U31" s="16">
        <f t="shared" si="62"/>
        <v>0</v>
      </c>
      <c r="V31" s="16">
        <f t="shared" si="62"/>
        <v>-1360</v>
      </c>
      <c r="W31" s="16">
        <f t="shared" si="62"/>
        <v>0</v>
      </c>
      <c r="X31" s="16">
        <f t="shared" si="62"/>
        <v>0</v>
      </c>
      <c r="Y31" s="16">
        <f t="shared" si="62"/>
        <v>-1360</v>
      </c>
      <c r="Z31" s="16">
        <f t="shared" si="62"/>
        <v>0</v>
      </c>
      <c r="AA31" s="16">
        <f t="shared" si="62"/>
        <v>0</v>
      </c>
      <c r="AB31" s="16">
        <f t="shared" si="62"/>
        <v>-1360</v>
      </c>
      <c r="AC31" s="16">
        <f>SUM(Q31:AB31)</f>
        <v>-1968.0566666666673</v>
      </c>
      <c r="AE31" s="15" t="s">
        <v>42</v>
      </c>
      <c r="AF31" s="16">
        <f t="shared" ref="AF31:AQ31" ca="1" si="63">AF29</f>
        <v>103.41246666666757</v>
      </c>
      <c r="AG31" s="16">
        <f t="shared" ca="1" si="63"/>
        <v>1485.2620333333339</v>
      </c>
      <c r="AH31" s="16">
        <f t="shared" ca="1" si="63"/>
        <v>4701.3048999999992</v>
      </c>
      <c r="AI31" s="16">
        <f t="shared" ca="1" si="63"/>
        <v>-475.38449999999921</v>
      </c>
      <c r="AJ31" s="16">
        <f t="shared" ca="1" si="63"/>
        <v>3132.8820999999998</v>
      </c>
      <c r="AK31" s="16">
        <f t="shared" ca="1" si="63"/>
        <v>3999.8998333333329</v>
      </c>
      <c r="AL31" s="16">
        <f t="shared" ca="1" si="63"/>
        <v>-2956.8493333333331</v>
      </c>
      <c r="AM31" s="16">
        <f t="shared" ca="1" si="63"/>
        <v>1954.4908333333337</v>
      </c>
      <c r="AN31" s="16">
        <f t="shared" ca="1" si="63"/>
        <v>2712.1382666666659</v>
      </c>
      <c r="AO31" s="16">
        <f t="shared" ca="1" si="63"/>
        <v>-2122.660366666667</v>
      </c>
      <c r="AP31" s="16">
        <f t="shared" ca="1" si="63"/>
        <v>2836.2884666666678</v>
      </c>
      <c r="AQ31" s="16">
        <f t="shared" ca="1" si="63"/>
        <v>2633.8972333333331</v>
      </c>
      <c r="AR31" s="16">
        <f ca="1">SUM(AF31:AQ31)</f>
        <v>18004.681933333333</v>
      </c>
    </row>
    <row r="32" spans="1:44" x14ac:dyDescent="0.25">
      <c r="A32" s="11"/>
      <c r="B32" s="17">
        <f>B31/B3</f>
        <v>-6.2414658776059527E-2</v>
      </c>
      <c r="C32" s="17">
        <f t="shared" ref="C32:N32" si="64">C31/C3</f>
        <v>0.12061914642309483</v>
      </c>
      <c r="D32" s="17">
        <f t="shared" si="64"/>
        <v>0.33643625042988101</v>
      </c>
      <c r="E32" s="17">
        <f t="shared" si="64"/>
        <v>-0.13385946756956793</v>
      </c>
      <c r="F32" s="17">
        <f t="shared" si="64"/>
        <v>0.22069493995616921</v>
      </c>
      <c r="G32" s="17">
        <f t="shared" si="64"/>
        <v>0.26000309452808118</v>
      </c>
      <c r="H32" s="17">
        <f t="shared" si="64"/>
        <v>-0.40070288945629767</v>
      </c>
      <c r="I32" s="17">
        <f t="shared" si="64"/>
        <v>0.14141167711202193</v>
      </c>
      <c r="J32" s="17">
        <f t="shared" si="64"/>
        <v>0.17501275990926898</v>
      </c>
      <c r="K32" s="17">
        <f t="shared" si="64"/>
        <v>-0.30382389189173081</v>
      </c>
      <c r="L32" s="17">
        <f t="shared" si="64"/>
        <v>0.18952528390174156</v>
      </c>
      <c r="M32" s="17">
        <f t="shared" si="64"/>
        <v>0.17429838646484525</v>
      </c>
      <c r="N32" s="17">
        <f t="shared" si="64"/>
        <v>6.6538737096147063E-2</v>
      </c>
      <c r="P32" s="11"/>
      <c r="Q32" s="17">
        <f t="shared" ref="Q32:AC32" si="65">Q31/Q3</f>
        <v>-0.12639777777777783</v>
      </c>
      <c r="R32" s="17">
        <f t="shared" si="65"/>
        <v>0.26188549382716042</v>
      </c>
      <c r="S32" s="17">
        <f t="shared" si="65"/>
        <v>0.18209080459770122</v>
      </c>
      <c r="T32" s="17">
        <f t="shared" si="65"/>
        <v>-0.13171023391812867</v>
      </c>
      <c r="U32" s="17" t="e">
        <f t="shared" si="65"/>
        <v>#DIV/0!</v>
      </c>
      <c r="V32" s="17" t="e">
        <f t="shared" si="65"/>
        <v>#DIV/0!</v>
      </c>
      <c r="W32" s="17" t="e">
        <f t="shared" si="65"/>
        <v>#DIV/0!</v>
      </c>
      <c r="X32" s="17" t="e">
        <f t="shared" si="65"/>
        <v>#DIV/0!</v>
      </c>
      <c r="Y32" s="17" t="e">
        <f t="shared" si="65"/>
        <v>#DIV/0!</v>
      </c>
      <c r="Z32" s="17" t="e">
        <f t="shared" si="65"/>
        <v>#DIV/0!</v>
      </c>
      <c r="AA32" s="17" t="e">
        <f t="shared" si="65"/>
        <v>#DIV/0!</v>
      </c>
      <c r="AB32" s="17" t="e">
        <f t="shared" si="65"/>
        <v>#DIV/0!</v>
      </c>
      <c r="AC32" s="17">
        <f t="shared" si="65"/>
        <v>-4.4425658389766753E-2</v>
      </c>
      <c r="AE32" s="11"/>
      <c r="AF32" s="17">
        <f t="shared" ref="AF32:AR32" ca="1" si="66">AF31/AF3</f>
        <v>1.0101551200872751E-2</v>
      </c>
      <c r="AG32" s="17">
        <f t="shared" ca="1" si="66"/>
        <v>0.18442095348422016</v>
      </c>
      <c r="AH32" s="17">
        <f t="shared" ca="1" si="66"/>
        <v>0.39156584229453723</v>
      </c>
      <c r="AI32" s="17">
        <f t="shared" ca="1" si="66"/>
        <v>-4.2267660104651807E-2</v>
      </c>
      <c r="AJ32" s="17">
        <f t="shared" ca="1" si="66"/>
        <v>0.28164207301544808</v>
      </c>
      <c r="AK32" s="17">
        <f t="shared" ca="1" si="66"/>
        <v>0.33917982342817232</v>
      </c>
      <c r="AL32" s="17">
        <f t="shared" ca="1" si="66"/>
        <v>-0.28310477625380859</v>
      </c>
      <c r="AM32" s="17">
        <f t="shared" ca="1" si="66"/>
        <v>0.1926582361248291</v>
      </c>
      <c r="AN32" s="17">
        <f t="shared" ca="1" si="66"/>
        <v>0.25034340773876385</v>
      </c>
      <c r="AO32" s="17">
        <f t="shared" ca="1" si="66"/>
        <v>-0.21373527862013494</v>
      </c>
      <c r="AP32" s="17">
        <f t="shared" ca="1" si="66"/>
        <v>0.25297573171868232</v>
      </c>
      <c r="AQ32" s="17">
        <f t="shared" ca="1" si="66"/>
        <v>0.23636056020081106</v>
      </c>
      <c r="AR32" s="17">
        <f t="shared" ca="1" si="66"/>
        <v>0.14047472032610639</v>
      </c>
    </row>
  </sheetData>
  <mergeCells count="2">
    <mergeCell ref="AT1:AU1"/>
    <mergeCell ref="AT6:AU6"/>
  </mergeCells>
  <conditionalFormatting sqref="Q24:AB24">
    <cfRule type="cellIs" dxfId="5" priority="11" operator="lessThan">
      <formula>0.2</formula>
    </cfRule>
  </conditionalFormatting>
  <conditionalFormatting sqref="Q32:AC32">
    <cfRule type="cellIs" dxfId="4" priority="10" operator="lessThan">
      <formula>0.2</formula>
    </cfRule>
  </conditionalFormatting>
  <conditionalFormatting sqref="AF24:AQ24">
    <cfRule type="cellIs" dxfId="3" priority="6" operator="lessThan">
      <formula>0.2</formula>
    </cfRule>
  </conditionalFormatting>
  <conditionalFormatting sqref="AF32:AR32">
    <cfRule type="cellIs" dxfId="2" priority="5" operator="lessThan">
      <formula>0.2</formula>
    </cfRule>
  </conditionalFormatting>
  <conditionalFormatting sqref="B24:M24">
    <cfRule type="cellIs" dxfId="1" priority="2" operator="lessThan">
      <formula>0.2</formula>
    </cfRule>
  </conditionalFormatting>
  <conditionalFormatting sqref="B32:N32">
    <cfRule type="cellIs" dxfId="0" priority="1" operator="lessThan">
      <formula>0.2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8FD94-0CAD-492F-BC0C-EA3F0AF3B664}">
  <sheetPr codeName="Hoja3">
    <tabColor theme="7" tint="0.79998168889431442"/>
  </sheetPr>
  <dimension ref="A1:CE5"/>
  <sheetViews>
    <sheetView workbookViewId="0">
      <selection activeCell="D3" sqref="D3"/>
    </sheetView>
  </sheetViews>
  <sheetFormatPr baseColWidth="10" defaultRowHeight="15" outlineLevelCol="1" x14ac:dyDescent="0.25"/>
  <cols>
    <col min="2" max="35" width="10.85546875" customWidth="1" outlineLevel="1"/>
    <col min="36" max="59" width="10.85546875" customWidth="1"/>
  </cols>
  <sheetData>
    <row r="1" spans="1:83" x14ac:dyDescent="0.25">
      <c r="A1" s="71"/>
      <c r="B1" s="71" t="s">
        <v>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2" t="s">
        <v>50</v>
      </c>
      <c r="BO1" s="72"/>
    </row>
    <row r="2" spans="1:83" x14ac:dyDescent="0.25">
      <c r="A2" s="71"/>
      <c r="B2" s="71" t="s">
        <v>51</v>
      </c>
      <c r="C2" s="71"/>
      <c r="D2" s="71" t="s">
        <v>52</v>
      </c>
      <c r="E2" s="71"/>
      <c r="F2" s="71" t="s">
        <v>53</v>
      </c>
      <c r="G2" s="71"/>
      <c r="H2" s="71" t="s">
        <v>54</v>
      </c>
      <c r="I2" s="71"/>
      <c r="J2" s="71" t="s">
        <v>55</v>
      </c>
      <c r="K2" s="71"/>
      <c r="L2" s="71" t="s">
        <v>56</v>
      </c>
      <c r="M2" s="71"/>
      <c r="N2" s="71" t="s">
        <v>57</v>
      </c>
      <c r="O2" s="71"/>
      <c r="P2" s="71" t="s">
        <v>58</v>
      </c>
      <c r="Q2" s="71"/>
      <c r="R2" s="71" t="s">
        <v>59</v>
      </c>
      <c r="S2" s="71"/>
      <c r="T2" s="71" t="s">
        <v>60</v>
      </c>
      <c r="U2" s="71"/>
      <c r="V2" s="71" t="s">
        <v>61</v>
      </c>
      <c r="W2" s="71"/>
      <c r="X2" s="71" t="s">
        <v>62</v>
      </c>
      <c r="Y2" s="71"/>
      <c r="Z2" s="71" t="s">
        <v>63</v>
      </c>
      <c r="AA2" s="71"/>
      <c r="AB2" s="71" t="s">
        <v>64</v>
      </c>
      <c r="AC2" s="71"/>
      <c r="AD2" s="71" t="s">
        <v>65</v>
      </c>
      <c r="AE2" s="71"/>
      <c r="AF2" s="71" t="s">
        <v>66</v>
      </c>
      <c r="AG2" s="71"/>
      <c r="AH2" s="71" t="s">
        <v>67</v>
      </c>
      <c r="AI2" s="71"/>
      <c r="AJ2" s="71" t="s">
        <v>68</v>
      </c>
      <c r="AK2" s="71"/>
      <c r="AL2" s="71" t="s">
        <v>69</v>
      </c>
      <c r="AM2" s="71"/>
      <c r="AN2" s="71" t="s">
        <v>70</v>
      </c>
      <c r="AO2" s="71"/>
      <c r="AP2" s="71" t="s">
        <v>71</v>
      </c>
      <c r="AQ2" s="71"/>
      <c r="AR2" s="71" t="s">
        <v>72</v>
      </c>
      <c r="AS2" s="71"/>
      <c r="AT2" s="71" t="s">
        <v>73</v>
      </c>
      <c r="AU2" s="71"/>
      <c r="AV2" s="71" t="s">
        <v>74</v>
      </c>
      <c r="AW2" s="71"/>
      <c r="AX2" s="71" t="s">
        <v>75</v>
      </c>
      <c r="AY2" s="71"/>
      <c r="AZ2" s="71" t="s">
        <v>76</v>
      </c>
      <c r="BA2" s="71"/>
      <c r="BB2" s="71" t="s">
        <v>77</v>
      </c>
      <c r="BC2" s="71"/>
      <c r="BD2" s="71" t="s">
        <v>78</v>
      </c>
      <c r="BE2" s="71"/>
      <c r="BF2" s="71" t="s">
        <v>79</v>
      </c>
      <c r="BG2" s="71"/>
      <c r="BH2" s="71" t="s">
        <v>80</v>
      </c>
      <c r="BI2" s="71"/>
      <c r="BJ2" s="71" t="s">
        <v>81</v>
      </c>
      <c r="BK2" s="71"/>
      <c r="BL2" s="71" t="s">
        <v>82</v>
      </c>
      <c r="BM2" s="71"/>
      <c r="BN2" s="74">
        <v>43556</v>
      </c>
      <c r="BO2" s="71"/>
      <c r="BP2" s="74">
        <v>43586</v>
      </c>
      <c r="BQ2" s="71"/>
      <c r="BR2" s="74">
        <v>43617</v>
      </c>
      <c r="BS2" s="71"/>
      <c r="BT2" s="74">
        <v>43647</v>
      </c>
      <c r="BU2" s="71"/>
      <c r="BV2" s="74">
        <v>43678</v>
      </c>
      <c r="BW2" s="71"/>
      <c r="BX2" s="74">
        <v>43709</v>
      </c>
      <c r="BY2" s="71"/>
      <c r="BZ2" s="74">
        <v>43739</v>
      </c>
      <c r="CA2" s="71"/>
      <c r="CB2" s="74">
        <v>43770</v>
      </c>
      <c r="CC2" s="71"/>
      <c r="CD2" s="74">
        <v>43800</v>
      </c>
      <c r="CE2" s="71"/>
    </row>
    <row r="3" spans="1:83" x14ac:dyDescent="0.25">
      <c r="A3" s="71"/>
      <c r="B3" s="71" t="s">
        <v>83</v>
      </c>
      <c r="C3" s="71" t="s">
        <v>84</v>
      </c>
      <c r="D3" s="71" t="s">
        <v>83</v>
      </c>
      <c r="E3" s="71" t="s">
        <v>84</v>
      </c>
      <c r="F3" s="71" t="s">
        <v>83</v>
      </c>
      <c r="G3" s="71" t="s">
        <v>84</v>
      </c>
      <c r="H3" s="71" t="s">
        <v>83</v>
      </c>
      <c r="I3" s="71" t="s">
        <v>84</v>
      </c>
      <c r="J3" s="71" t="s">
        <v>83</v>
      </c>
      <c r="K3" s="71" t="s">
        <v>84</v>
      </c>
      <c r="L3" s="71" t="s">
        <v>83</v>
      </c>
      <c r="M3" s="71" t="s">
        <v>84</v>
      </c>
      <c r="N3" s="71" t="s">
        <v>83</v>
      </c>
      <c r="O3" s="71" t="s">
        <v>84</v>
      </c>
      <c r="P3" s="71" t="s">
        <v>83</v>
      </c>
      <c r="Q3" s="71" t="s">
        <v>84</v>
      </c>
      <c r="R3" s="71" t="s">
        <v>83</v>
      </c>
      <c r="S3" s="71" t="s">
        <v>84</v>
      </c>
      <c r="T3" s="71" t="s">
        <v>83</v>
      </c>
      <c r="U3" s="71" t="s">
        <v>84</v>
      </c>
      <c r="V3" s="71" t="s">
        <v>83</v>
      </c>
      <c r="W3" s="71" t="s">
        <v>84</v>
      </c>
      <c r="X3" s="71" t="s">
        <v>83</v>
      </c>
      <c r="Y3" s="71" t="s">
        <v>84</v>
      </c>
      <c r="Z3" s="71" t="s">
        <v>83</v>
      </c>
      <c r="AA3" s="71" t="s">
        <v>84</v>
      </c>
      <c r="AB3" s="71" t="s">
        <v>83</v>
      </c>
      <c r="AC3" s="71" t="s">
        <v>84</v>
      </c>
      <c r="AD3" s="71" t="s">
        <v>83</v>
      </c>
      <c r="AE3" s="71" t="s">
        <v>84</v>
      </c>
      <c r="AF3" s="71" t="s">
        <v>83</v>
      </c>
      <c r="AG3" s="71" t="s">
        <v>84</v>
      </c>
      <c r="AH3" s="71" t="s">
        <v>83</v>
      </c>
      <c r="AI3" s="71" t="s">
        <v>84</v>
      </c>
      <c r="AJ3" s="71" t="s">
        <v>83</v>
      </c>
      <c r="AK3" s="71" t="s">
        <v>84</v>
      </c>
      <c r="AL3" s="71" t="s">
        <v>83</v>
      </c>
      <c r="AM3" s="71" t="s">
        <v>84</v>
      </c>
      <c r="AN3" s="71" t="s">
        <v>83</v>
      </c>
      <c r="AO3" s="71" t="s">
        <v>84</v>
      </c>
      <c r="AP3" s="71" t="s">
        <v>83</v>
      </c>
      <c r="AQ3" s="71" t="s">
        <v>84</v>
      </c>
      <c r="AR3" s="71" t="s">
        <v>83</v>
      </c>
      <c r="AS3" s="71" t="s">
        <v>84</v>
      </c>
      <c r="AT3" s="71" t="s">
        <v>83</v>
      </c>
      <c r="AU3" s="71" t="s">
        <v>84</v>
      </c>
      <c r="AV3" s="71" t="s">
        <v>83</v>
      </c>
      <c r="AW3" s="71" t="s">
        <v>84</v>
      </c>
      <c r="AX3" s="71" t="s">
        <v>83</v>
      </c>
      <c r="AY3" s="71" t="s">
        <v>84</v>
      </c>
      <c r="AZ3" s="71" t="s">
        <v>83</v>
      </c>
      <c r="BA3" s="71" t="s">
        <v>84</v>
      </c>
      <c r="BB3" s="71" t="s">
        <v>83</v>
      </c>
      <c r="BC3" s="71" t="s">
        <v>84</v>
      </c>
      <c r="BD3" s="71" t="s">
        <v>83</v>
      </c>
      <c r="BE3" s="71" t="s">
        <v>84</v>
      </c>
      <c r="BF3" s="71" t="s">
        <v>83</v>
      </c>
      <c r="BG3" s="71" t="s">
        <v>84</v>
      </c>
      <c r="BH3" s="71" t="s">
        <v>83</v>
      </c>
      <c r="BI3" s="71" t="s">
        <v>84</v>
      </c>
      <c r="BJ3" s="71" t="s">
        <v>83</v>
      </c>
      <c r="BK3" s="71" t="s">
        <v>84</v>
      </c>
      <c r="BL3" s="71" t="s">
        <v>83</v>
      </c>
      <c r="BM3" s="71" t="s">
        <v>84</v>
      </c>
      <c r="BN3" s="71" t="s">
        <v>83</v>
      </c>
      <c r="BO3" s="71" t="s">
        <v>84</v>
      </c>
      <c r="BP3" s="71" t="s">
        <v>83</v>
      </c>
      <c r="BQ3" s="71" t="s">
        <v>84</v>
      </c>
      <c r="BR3" s="71" t="s">
        <v>83</v>
      </c>
      <c r="BS3" s="71" t="s">
        <v>84</v>
      </c>
      <c r="BT3" s="71" t="s">
        <v>83</v>
      </c>
      <c r="BU3" s="71" t="s">
        <v>84</v>
      </c>
      <c r="BV3" s="71" t="s">
        <v>83</v>
      </c>
      <c r="BW3" s="71" t="s">
        <v>84</v>
      </c>
      <c r="BX3" s="71" t="s">
        <v>83</v>
      </c>
      <c r="BY3" s="71" t="s">
        <v>84</v>
      </c>
      <c r="BZ3" s="71" t="s">
        <v>83</v>
      </c>
      <c r="CA3" s="71" t="s">
        <v>84</v>
      </c>
      <c r="CB3" s="71" t="s">
        <v>83</v>
      </c>
      <c r="CC3" s="71" t="s">
        <v>84</v>
      </c>
      <c r="CD3" s="71" t="s">
        <v>83</v>
      </c>
      <c r="CE3" s="71" t="s">
        <v>84</v>
      </c>
    </row>
    <row r="4" spans="1:83" x14ac:dyDescent="0.25">
      <c r="A4" s="71" t="s">
        <v>0</v>
      </c>
      <c r="B4" s="73">
        <v>201</v>
      </c>
      <c r="C4" s="73">
        <v>1422.1</v>
      </c>
      <c r="D4" s="73">
        <v>513</v>
      </c>
      <c r="E4" s="73">
        <v>3668.24</v>
      </c>
      <c r="F4" s="73">
        <v>590</v>
      </c>
      <c r="G4" s="73">
        <v>4058.85</v>
      </c>
      <c r="H4" s="73">
        <v>551</v>
      </c>
      <c r="I4" s="73">
        <v>3955.06</v>
      </c>
      <c r="J4" s="73">
        <v>735</v>
      </c>
      <c r="K4" s="73">
        <v>5532.64</v>
      </c>
      <c r="L4" s="73">
        <v>660</v>
      </c>
      <c r="M4" s="73">
        <v>5180.53</v>
      </c>
      <c r="N4" s="73">
        <v>754</v>
      </c>
      <c r="O4" s="73">
        <v>5641.52</v>
      </c>
      <c r="P4" s="73">
        <v>915</v>
      </c>
      <c r="Q4" s="73">
        <v>6614.5</v>
      </c>
      <c r="R4" s="73">
        <v>871</v>
      </c>
      <c r="S4" s="73">
        <v>6211.32</v>
      </c>
      <c r="T4" s="73">
        <v>973</v>
      </c>
      <c r="U4" s="73">
        <v>7026.89</v>
      </c>
      <c r="V4" s="73">
        <v>1043</v>
      </c>
      <c r="W4" s="73">
        <v>7565.66</v>
      </c>
      <c r="X4" s="73">
        <v>984</v>
      </c>
      <c r="Y4" s="73">
        <v>7086.76</v>
      </c>
      <c r="Z4" s="73">
        <v>993</v>
      </c>
      <c r="AA4" s="73">
        <v>7228.73</v>
      </c>
      <c r="AB4" s="73">
        <v>1193</v>
      </c>
      <c r="AC4" s="73">
        <v>8719.94</v>
      </c>
      <c r="AD4" s="73">
        <v>1132</v>
      </c>
      <c r="AE4" s="73">
        <v>8122.34</v>
      </c>
      <c r="AF4" s="73">
        <v>1050</v>
      </c>
      <c r="AG4" s="73">
        <v>7529.16</v>
      </c>
      <c r="AH4" s="73">
        <v>1148</v>
      </c>
      <c r="AI4" s="73">
        <v>8534.7099999999991</v>
      </c>
      <c r="AJ4" s="11">
        <v>1220</v>
      </c>
      <c r="AK4" s="11">
        <v>9222.7800000000007</v>
      </c>
      <c r="AL4" s="11">
        <v>952</v>
      </c>
      <c r="AM4" s="11">
        <v>7190.76</v>
      </c>
      <c r="AN4" s="11">
        <v>1437</v>
      </c>
      <c r="AO4" s="11">
        <v>10720.02</v>
      </c>
      <c r="AP4" s="11">
        <v>1312</v>
      </c>
      <c r="AQ4" s="11">
        <v>9953.1</v>
      </c>
      <c r="AR4" s="11">
        <v>1313</v>
      </c>
      <c r="AS4" s="11">
        <v>9843.92</v>
      </c>
      <c r="AT4" s="11">
        <v>1375</v>
      </c>
      <c r="AU4" s="11">
        <v>10254.66</v>
      </c>
      <c r="AV4" s="11">
        <v>1239</v>
      </c>
      <c r="AW4" s="11">
        <v>9242.7999999999993</v>
      </c>
      <c r="AX4" s="11">
        <v>1218</v>
      </c>
      <c r="AY4" s="11">
        <v>9222.6</v>
      </c>
      <c r="AZ4" s="11">
        <v>1291</v>
      </c>
      <c r="BA4" s="11">
        <v>9587.32</v>
      </c>
      <c r="BB4" s="11">
        <v>1214</v>
      </c>
      <c r="BC4" s="11">
        <v>8947.08</v>
      </c>
      <c r="BD4" s="11">
        <v>1335</v>
      </c>
      <c r="BE4" s="11">
        <v>9921.86</v>
      </c>
      <c r="BF4" s="11">
        <v>1349</v>
      </c>
      <c r="BG4" s="11">
        <v>10039.24</v>
      </c>
      <c r="BH4" s="11">
        <v>1200</v>
      </c>
      <c r="BI4" s="11">
        <v>10500</v>
      </c>
      <c r="BJ4" s="11">
        <v>1400</v>
      </c>
      <c r="BK4" s="11">
        <v>10800</v>
      </c>
      <c r="BL4" s="11">
        <v>950</v>
      </c>
      <c r="BM4" s="11">
        <v>11600</v>
      </c>
      <c r="BN4" s="9"/>
      <c r="BO4" s="87">
        <v>11400</v>
      </c>
    </row>
    <row r="5" spans="1:83" x14ac:dyDescent="0.25">
      <c r="A5" s="71" t="s">
        <v>85</v>
      </c>
      <c r="B5" s="73">
        <v>201</v>
      </c>
      <c r="C5" s="73">
        <v>1422.1</v>
      </c>
      <c r="D5" s="73">
        <v>513</v>
      </c>
      <c r="E5" s="73">
        <v>3668.24</v>
      </c>
      <c r="F5" s="73">
        <v>590</v>
      </c>
      <c r="G5" s="73">
        <v>4058.85</v>
      </c>
      <c r="H5" s="73">
        <v>551</v>
      </c>
      <c r="I5" s="73">
        <v>3955.06</v>
      </c>
      <c r="J5" s="73">
        <v>735</v>
      </c>
      <c r="K5" s="73">
        <v>5532.64</v>
      </c>
      <c r="L5" s="73">
        <v>660</v>
      </c>
      <c r="M5" s="73">
        <v>5180.53</v>
      </c>
      <c r="N5" s="73">
        <v>754</v>
      </c>
      <c r="O5" s="73">
        <v>5641.52</v>
      </c>
      <c r="P5" s="73">
        <v>915</v>
      </c>
      <c r="Q5" s="73">
        <v>6614.5</v>
      </c>
      <c r="R5" s="73">
        <v>871</v>
      </c>
      <c r="S5" s="73">
        <v>6211.32</v>
      </c>
      <c r="T5" s="73">
        <v>975</v>
      </c>
      <c r="U5" s="73">
        <v>7028.49</v>
      </c>
      <c r="V5" s="73">
        <v>1043</v>
      </c>
      <c r="W5" s="73">
        <v>7565.66</v>
      </c>
      <c r="X5" s="73">
        <v>984</v>
      </c>
      <c r="Y5" s="73">
        <v>7086.76</v>
      </c>
      <c r="Z5" s="73">
        <v>993</v>
      </c>
      <c r="AA5" s="73">
        <v>7228.73</v>
      </c>
      <c r="AB5" s="73">
        <v>1193</v>
      </c>
      <c r="AC5" s="73">
        <v>8719.94</v>
      </c>
      <c r="AD5" s="73">
        <v>1132</v>
      </c>
      <c r="AE5" s="73">
        <v>8122.34</v>
      </c>
      <c r="AF5" s="73">
        <v>1050</v>
      </c>
      <c r="AG5" s="73">
        <v>7529.16</v>
      </c>
      <c r="AH5" s="73">
        <v>1148</v>
      </c>
      <c r="AI5" s="73">
        <v>8534.7099999999991</v>
      </c>
      <c r="AJ5" s="11">
        <v>1220</v>
      </c>
      <c r="AK5" s="11">
        <v>9222.7800000000007</v>
      </c>
      <c r="AL5" s="11">
        <v>952</v>
      </c>
      <c r="AM5" s="11">
        <v>7190.76</v>
      </c>
      <c r="AN5" s="11">
        <v>1437</v>
      </c>
      <c r="AO5" s="11">
        <v>10720.02</v>
      </c>
      <c r="AP5" s="11">
        <v>1312</v>
      </c>
      <c r="AQ5" s="11">
        <v>9953.1</v>
      </c>
      <c r="AR5" s="11">
        <v>1313</v>
      </c>
      <c r="AS5" s="11">
        <v>9843.92</v>
      </c>
      <c r="AT5" s="11">
        <v>1375</v>
      </c>
      <c r="AU5" s="11">
        <v>10254.66</v>
      </c>
      <c r="AV5" s="11">
        <v>1239</v>
      </c>
      <c r="AW5" s="11">
        <v>9242.7999999999993</v>
      </c>
      <c r="AX5" s="11">
        <v>1218</v>
      </c>
      <c r="AY5" s="11">
        <v>9222.6</v>
      </c>
      <c r="AZ5" s="11">
        <v>1291</v>
      </c>
      <c r="BA5" s="11">
        <v>9587.32</v>
      </c>
      <c r="BB5" s="11">
        <v>1214</v>
      </c>
      <c r="BC5" s="11">
        <v>8947.08</v>
      </c>
      <c r="BD5" s="11">
        <v>1335</v>
      </c>
      <c r="BE5" s="11">
        <v>9921.86</v>
      </c>
      <c r="BF5" s="11">
        <v>1349</v>
      </c>
      <c r="BG5" s="11">
        <v>10039.24</v>
      </c>
      <c r="BH5" s="11">
        <v>1117</v>
      </c>
      <c r="BI5" s="11">
        <v>9658.09</v>
      </c>
      <c r="BJ5" s="11">
        <v>1339</v>
      </c>
      <c r="BK5" s="11">
        <v>9997.14</v>
      </c>
      <c r="BL5" s="11">
        <v>873</v>
      </c>
      <c r="BM5" s="11">
        <v>10800</v>
      </c>
      <c r="BN5" s="9"/>
      <c r="BO5" s="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2DA25-4D25-4F62-BB09-5ACDEA9F8AAB}">
  <sheetPr codeName="Hoja4">
    <tabColor theme="7" tint="0.79998168889431442"/>
  </sheetPr>
  <dimension ref="A1:AB24"/>
  <sheetViews>
    <sheetView showGridLines="0" zoomScale="90" zoomScaleNormal="90" workbookViewId="0">
      <selection activeCell="A6" sqref="A6"/>
    </sheetView>
  </sheetViews>
  <sheetFormatPr baseColWidth="10" defaultRowHeight="15" outlineLevelCol="1" x14ac:dyDescent="0.25"/>
  <cols>
    <col min="1" max="1" width="19.5703125" bestFit="1" customWidth="1"/>
    <col min="2" max="2" width="10.85546875" customWidth="1" outlineLevel="1"/>
    <col min="3" max="10" width="10.42578125" customWidth="1" outlineLevel="1"/>
    <col min="11" max="11" width="12.7109375" customWidth="1" outlineLevel="1"/>
    <col min="12" max="12" width="10.42578125" customWidth="1" outlineLevel="1"/>
    <col min="13" max="13" width="11.7109375" customWidth="1" outlineLevel="1"/>
    <col min="14" max="14" width="10.7109375" customWidth="1" outlineLevel="1"/>
    <col min="15" max="15" width="2.7109375" customWidth="1"/>
    <col min="17" max="24" width="10.42578125" bestFit="1" customWidth="1"/>
    <col min="25" max="25" width="12.7109375" bestFit="1" customWidth="1"/>
    <col min="26" max="26" width="10.42578125" bestFit="1" customWidth="1"/>
    <col min="27" max="27" width="11.7109375" bestFit="1" customWidth="1"/>
    <col min="28" max="28" width="10.7109375" bestFit="1" customWidth="1"/>
  </cols>
  <sheetData>
    <row r="1" spans="1:28" x14ac:dyDescent="0.25">
      <c r="C1" s="104">
        <v>2018</v>
      </c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P1" s="104">
        <v>2019</v>
      </c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</row>
    <row r="2" spans="1:28" x14ac:dyDescent="0.25">
      <c r="A2" s="79" t="s">
        <v>87</v>
      </c>
      <c r="B2" s="79" t="s">
        <v>108</v>
      </c>
      <c r="C2" s="80" t="s">
        <v>13</v>
      </c>
      <c r="D2" s="80" t="s">
        <v>14</v>
      </c>
      <c r="E2" s="80" t="s">
        <v>15</v>
      </c>
      <c r="F2" s="80" t="s">
        <v>16</v>
      </c>
      <c r="G2" s="80" t="s">
        <v>109</v>
      </c>
      <c r="H2" s="80" t="s">
        <v>17</v>
      </c>
      <c r="I2" s="80" t="s">
        <v>18</v>
      </c>
      <c r="J2" s="80" t="s">
        <v>19</v>
      </c>
      <c r="K2" s="80" t="s">
        <v>20</v>
      </c>
      <c r="L2" s="80" t="s">
        <v>21</v>
      </c>
      <c r="M2" s="80" t="s">
        <v>110</v>
      </c>
      <c r="N2" s="80" t="s">
        <v>22</v>
      </c>
      <c r="O2" s="81"/>
      <c r="P2" s="79" t="s">
        <v>108</v>
      </c>
      <c r="Q2" s="80" t="s">
        <v>13</v>
      </c>
      <c r="R2" s="80" t="s">
        <v>14</v>
      </c>
      <c r="S2" s="80" t="s">
        <v>15</v>
      </c>
      <c r="T2" s="80" t="s">
        <v>16</v>
      </c>
      <c r="U2" s="80" t="s">
        <v>109</v>
      </c>
      <c r="V2" s="80" t="s">
        <v>17</v>
      </c>
      <c r="W2" s="80" t="s">
        <v>18</v>
      </c>
      <c r="X2" s="80" t="s">
        <v>19</v>
      </c>
      <c r="Y2" s="80" t="s">
        <v>20</v>
      </c>
      <c r="Z2" s="80" t="s">
        <v>21</v>
      </c>
      <c r="AA2" s="80" t="s">
        <v>110</v>
      </c>
      <c r="AB2" s="80" t="s">
        <v>22</v>
      </c>
    </row>
    <row r="3" spans="1:28" x14ac:dyDescent="0.25">
      <c r="A3" s="82" t="s">
        <v>88</v>
      </c>
      <c r="B3" s="77"/>
      <c r="C3" s="78">
        <v>664</v>
      </c>
      <c r="D3" s="78">
        <v>664</v>
      </c>
      <c r="E3" s="78">
        <v>664</v>
      </c>
      <c r="F3" s="78">
        <v>664</v>
      </c>
      <c r="G3" s="78">
        <v>664</v>
      </c>
      <c r="H3" s="78">
        <v>664</v>
      </c>
      <c r="I3" s="78">
        <v>664</v>
      </c>
      <c r="J3" s="78">
        <v>664</v>
      </c>
      <c r="K3" s="78">
        <v>664</v>
      </c>
      <c r="L3" s="78">
        <v>664</v>
      </c>
      <c r="M3" s="78">
        <v>664</v>
      </c>
      <c r="N3" s="78">
        <v>664</v>
      </c>
      <c r="O3" s="75"/>
      <c r="P3" s="77"/>
      <c r="Q3" s="78">
        <v>678.34</v>
      </c>
      <c r="R3" s="78">
        <v>678.34</v>
      </c>
      <c r="S3" s="78">
        <v>678.34</v>
      </c>
      <c r="T3" s="78">
        <v>678.34</v>
      </c>
      <c r="U3" s="78"/>
      <c r="V3" s="78"/>
      <c r="W3" s="78"/>
      <c r="X3" s="78"/>
      <c r="Y3" s="78"/>
      <c r="Z3" s="78"/>
      <c r="AA3" s="78"/>
      <c r="AB3" s="78"/>
    </row>
    <row r="4" spans="1:28" x14ac:dyDescent="0.25">
      <c r="A4" s="82" t="s">
        <v>89</v>
      </c>
      <c r="B4" s="77"/>
      <c r="C4" s="78">
        <v>121</v>
      </c>
      <c r="D4" s="78">
        <v>121</v>
      </c>
      <c r="E4" s="78">
        <v>121</v>
      </c>
      <c r="F4" s="78">
        <v>121</v>
      </c>
      <c r="G4" s="78">
        <v>180</v>
      </c>
      <c r="H4" s="78">
        <v>121</v>
      </c>
      <c r="I4" s="78">
        <v>121</v>
      </c>
      <c r="J4" s="78">
        <v>121</v>
      </c>
      <c r="K4" s="78">
        <v>121</v>
      </c>
      <c r="L4" s="78">
        <v>121</v>
      </c>
      <c r="M4" s="78">
        <v>121</v>
      </c>
      <c r="N4" s="78">
        <v>121</v>
      </c>
      <c r="O4" s="75"/>
      <c r="P4" s="77"/>
      <c r="Q4" s="78">
        <v>121</v>
      </c>
      <c r="R4" s="78">
        <v>121</v>
      </c>
      <c r="S4" s="78">
        <v>121</v>
      </c>
      <c r="T4" s="78">
        <v>121</v>
      </c>
      <c r="U4" s="78"/>
      <c r="V4" s="78"/>
      <c r="W4" s="78"/>
      <c r="X4" s="78"/>
      <c r="Y4" s="78"/>
      <c r="Z4" s="78"/>
      <c r="AA4" s="78"/>
      <c r="AB4" s="78"/>
    </row>
    <row r="5" spans="1:28" x14ac:dyDescent="0.25">
      <c r="A5" s="82" t="s">
        <v>90</v>
      </c>
      <c r="B5" s="77"/>
      <c r="C5" s="78">
        <v>562</v>
      </c>
      <c r="D5" s="78">
        <v>562</v>
      </c>
      <c r="E5" s="78">
        <v>562</v>
      </c>
      <c r="F5" s="78">
        <v>562</v>
      </c>
      <c r="G5" s="78">
        <v>562</v>
      </c>
      <c r="H5" s="78">
        <v>562</v>
      </c>
      <c r="I5" s="78">
        <v>562</v>
      </c>
      <c r="J5" s="78">
        <v>562</v>
      </c>
      <c r="K5" s="78">
        <v>562</v>
      </c>
      <c r="L5" s="78">
        <v>562</v>
      </c>
      <c r="M5" s="78">
        <v>562</v>
      </c>
      <c r="N5" s="78">
        <v>562</v>
      </c>
      <c r="O5" s="75"/>
      <c r="P5" s="77"/>
      <c r="Q5" s="78">
        <v>562.29999999999995</v>
      </c>
      <c r="R5" s="78">
        <v>562.29999999999995</v>
      </c>
      <c r="S5" s="78">
        <v>562.29999999999995</v>
      </c>
      <c r="T5" s="78">
        <v>562.29999999999995</v>
      </c>
      <c r="U5" s="78"/>
      <c r="V5" s="78"/>
      <c r="W5" s="78"/>
      <c r="X5" s="78"/>
      <c r="Y5" s="78"/>
      <c r="Z5" s="78"/>
      <c r="AA5" s="78"/>
      <c r="AB5" s="78"/>
    </row>
    <row r="6" spans="1:28" x14ac:dyDescent="0.25">
      <c r="A6" s="82" t="s">
        <v>91</v>
      </c>
      <c r="B6" s="77"/>
      <c r="C6" s="78">
        <v>0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78">
        <v>0</v>
      </c>
      <c r="J6" s="78">
        <v>0</v>
      </c>
      <c r="K6" s="78">
        <v>0</v>
      </c>
      <c r="L6" s="78">
        <v>0</v>
      </c>
      <c r="M6" s="78">
        <v>0</v>
      </c>
      <c r="N6" s="78">
        <v>0</v>
      </c>
      <c r="O6" s="75"/>
      <c r="P6" s="77"/>
      <c r="Q6" s="78">
        <v>0</v>
      </c>
      <c r="R6" s="78">
        <v>0</v>
      </c>
      <c r="S6" s="78">
        <v>1200</v>
      </c>
      <c r="T6" s="78">
        <v>561.12</v>
      </c>
      <c r="U6" s="78"/>
      <c r="V6" s="78"/>
      <c r="W6" s="78"/>
      <c r="X6" s="78"/>
      <c r="Y6" s="78"/>
      <c r="Z6" s="78"/>
      <c r="AA6" s="78"/>
      <c r="AB6" s="78"/>
    </row>
    <row r="7" spans="1:28" x14ac:dyDescent="0.25">
      <c r="A7" s="82" t="s">
        <v>92</v>
      </c>
      <c r="B7" s="77"/>
      <c r="C7" s="78">
        <v>363</v>
      </c>
      <c r="D7" s="78">
        <v>363</v>
      </c>
      <c r="E7" s="78">
        <v>363</v>
      </c>
      <c r="F7" s="78">
        <v>363</v>
      </c>
      <c r="G7" s="78">
        <v>363</v>
      </c>
      <c r="H7" s="78">
        <v>363</v>
      </c>
      <c r="I7" s="78">
        <v>363</v>
      </c>
      <c r="J7" s="78">
        <v>363</v>
      </c>
      <c r="K7" s="78">
        <v>363</v>
      </c>
      <c r="L7" s="78">
        <v>363</v>
      </c>
      <c r="M7" s="78">
        <v>363</v>
      </c>
      <c r="N7" s="78">
        <v>363</v>
      </c>
      <c r="O7" s="75"/>
      <c r="P7" s="77"/>
      <c r="Q7" s="78">
        <v>363</v>
      </c>
      <c r="R7" s="78">
        <v>363</v>
      </c>
      <c r="S7" s="78">
        <v>363</v>
      </c>
      <c r="T7" s="78">
        <v>363</v>
      </c>
      <c r="U7" s="78"/>
      <c r="V7" s="78"/>
      <c r="W7" s="78"/>
      <c r="X7" s="78"/>
      <c r="Y7" s="78"/>
      <c r="Z7" s="78"/>
      <c r="AA7" s="78"/>
      <c r="AB7" s="78"/>
    </row>
    <row r="8" spans="1:28" x14ac:dyDescent="0.25">
      <c r="A8" s="82" t="s">
        <v>93</v>
      </c>
      <c r="B8" s="77"/>
      <c r="C8" s="78">
        <v>2879</v>
      </c>
      <c r="D8" s="78">
        <v>3025</v>
      </c>
      <c r="E8" s="78">
        <v>3800</v>
      </c>
      <c r="F8" s="78">
        <v>3800</v>
      </c>
      <c r="G8" s="78">
        <v>3875</v>
      </c>
      <c r="H8" s="78">
        <v>3875</v>
      </c>
      <c r="I8" s="78">
        <v>3875</v>
      </c>
      <c r="J8" s="78">
        <v>4000</v>
      </c>
      <c r="K8" s="78">
        <v>4050</v>
      </c>
      <c r="L8" s="78">
        <v>4086</v>
      </c>
      <c r="M8" s="78">
        <v>4300</v>
      </c>
      <c r="N8" s="78">
        <v>4100</v>
      </c>
      <c r="O8" s="75"/>
      <c r="P8" s="77"/>
      <c r="Q8" s="78">
        <v>3918</v>
      </c>
      <c r="R8" s="78">
        <v>3918</v>
      </c>
      <c r="S8" s="78">
        <v>4444</v>
      </c>
      <c r="T8" s="90">
        <v>4450</v>
      </c>
      <c r="U8" s="78"/>
      <c r="V8" s="78"/>
      <c r="W8" s="78"/>
      <c r="X8" s="78"/>
      <c r="Y8" s="78"/>
      <c r="Z8" s="78"/>
      <c r="AA8" s="78"/>
      <c r="AB8" s="78"/>
    </row>
    <row r="9" spans="1:28" x14ac:dyDescent="0.25">
      <c r="A9" s="82" t="s">
        <v>94</v>
      </c>
      <c r="B9" s="77"/>
      <c r="C9" s="78">
        <v>892</v>
      </c>
      <c r="D9" s="78">
        <v>893</v>
      </c>
      <c r="E9" s="78">
        <v>893</v>
      </c>
      <c r="F9" s="78">
        <v>1228</v>
      </c>
      <c r="G9" s="78">
        <v>1306</v>
      </c>
      <c r="H9" s="78">
        <v>1309</v>
      </c>
      <c r="I9" s="78">
        <v>1308</v>
      </c>
      <c r="J9" s="78">
        <v>1500</v>
      </c>
      <c r="K9" s="78">
        <v>1393</v>
      </c>
      <c r="L9" s="78">
        <v>1472</v>
      </c>
      <c r="M9" s="78">
        <v>1335</v>
      </c>
      <c r="N9" s="78">
        <v>1580</v>
      </c>
      <c r="O9" s="75"/>
      <c r="P9" s="77"/>
      <c r="Q9" s="78">
        <v>1387.72</v>
      </c>
      <c r="R9" s="78">
        <v>1500</v>
      </c>
      <c r="S9" s="78">
        <v>1350.74</v>
      </c>
      <c r="T9" s="90">
        <v>1500</v>
      </c>
      <c r="U9" s="78"/>
      <c r="V9" s="78"/>
      <c r="W9" s="78"/>
      <c r="X9" s="78"/>
      <c r="Y9" s="78"/>
      <c r="Z9" s="78"/>
      <c r="AA9" s="78"/>
      <c r="AB9" s="78"/>
    </row>
    <row r="10" spans="1:28" x14ac:dyDescent="0.25">
      <c r="A10" s="82" t="s">
        <v>95</v>
      </c>
      <c r="B10" s="77"/>
      <c r="C10" s="78">
        <v>358</v>
      </c>
      <c r="D10" s="78">
        <v>358</v>
      </c>
      <c r="E10" s="78">
        <v>358</v>
      </c>
      <c r="F10" s="78">
        <v>358</v>
      </c>
      <c r="G10" s="78">
        <v>358</v>
      </c>
      <c r="H10" s="78">
        <v>358</v>
      </c>
      <c r="I10" s="78">
        <v>358</v>
      </c>
      <c r="J10" s="78">
        <v>358</v>
      </c>
      <c r="K10" s="78">
        <v>358</v>
      </c>
      <c r="L10" s="78">
        <v>358</v>
      </c>
      <c r="M10" s="78">
        <v>358</v>
      </c>
      <c r="N10" s="78">
        <v>358</v>
      </c>
      <c r="O10" s="75"/>
      <c r="P10" s="77"/>
      <c r="Q10" s="78">
        <v>364.22</v>
      </c>
      <c r="R10" s="78">
        <v>364.22</v>
      </c>
      <c r="S10" s="78">
        <v>364.22</v>
      </c>
      <c r="T10" s="78">
        <v>364.22</v>
      </c>
      <c r="U10" s="78"/>
      <c r="V10" s="78"/>
      <c r="W10" s="78"/>
      <c r="X10" s="78"/>
      <c r="Y10" s="78"/>
      <c r="Z10" s="78"/>
      <c r="AA10" s="78"/>
      <c r="AB10" s="78"/>
    </row>
    <row r="11" spans="1:28" x14ac:dyDescent="0.25">
      <c r="A11" s="82" t="s">
        <v>96</v>
      </c>
      <c r="B11" s="77"/>
      <c r="C11" s="78">
        <v>112</v>
      </c>
      <c r="D11" s="78">
        <v>77</v>
      </c>
      <c r="E11" s="78">
        <v>92</v>
      </c>
      <c r="F11" s="78">
        <v>70</v>
      </c>
      <c r="G11" s="78">
        <v>103</v>
      </c>
      <c r="H11" s="78">
        <v>76</v>
      </c>
      <c r="I11" s="78">
        <v>79</v>
      </c>
      <c r="J11" s="78">
        <v>90</v>
      </c>
      <c r="K11" s="78">
        <v>138</v>
      </c>
      <c r="L11" s="78">
        <v>86</v>
      </c>
      <c r="M11" s="78">
        <v>78</v>
      </c>
      <c r="N11" s="78">
        <v>109</v>
      </c>
      <c r="O11" s="75"/>
      <c r="P11" s="77"/>
      <c r="Q11" s="78">
        <v>138.81</v>
      </c>
      <c r="R11" s="78">
        <v>200.76</v>
      </c>
      <c r="S11" s="78">
        <v>138.81</v>
      </c>
      <c r="T11" s="90">
        <v>140</v>
      </c>
      <c r="U11" s="78"/>
      <c r="V11" s="78"/>
      <c r="W11" s="78"/>
      <c r="X11" s="78"/>
      <c r="Y11" s="78"/>
      <c r="Z11" s="78"/>
      <c r="AA11" s="78"/>
      <c r="AB11" s="78"/>
    </row>
    <row r="12" spans="1:28" x14ac:dyDescent="0.25">
      <c r="A12" s="82" t="s">
        <v>97</v>
      </c>
      <c r="B12" s="77"/>
      <c r="C12" s="78">
        <v>44</v>
      </c>
      <c r="D12" s="78">
        <v>44</v>
      </c>
      <c r="E12" s="78">
        <v>44</v>
      </c>
      <c r="F12" s="78">
        <v>44</v>
      </c>
      <c r="G12" s="78">
        <v>44</v>
      </c>
      <c r="H12" s="78">
        <v>44</v>
      </c>
      <c r="I12" s="78">
        <v>44</v>
      </c>
      <c r="J12" s="78">
        <v>44</v>
      </c>
      <c r="K12" s="78">
        <v>44</v>
      </c>
      <c r="L12" s="78">
        <v>44</v>
      </c>
      <c r="M12" s="78">
        <v>44</v>
      </c>
      <c r="N12" s="78">
        <v>44</v>
      </c>
      <c r="O12" s="75"/>
      <c r="P12" s="77"/>
      <c r="Q12" s="78">
        <v>133.87</v>
      </c>
      <c r="R12" s="78">
        <v>42.35</v>
      </c>
      <c r="S12" s="78">
        <v>43.67</v>
      </c>
      <c r="T12" s="78">
        <v>42.35</v>
      </c>
      <c r="U12" s="78"/>
      <c r="V12" s="78"/>
      <c r="W12" s="78"/>
      <c r="X12" s="78"/>
      <c r="Y12" s="78"/>
      <c r="Z12" s="78"/>
      <c r="AA12" s="78"/>
      <c r="AB12" s="78"/>
    </row>
    <row r="13" spans="1:28" x14ac:dyDescent="0.25">
      <c r="A13" s="82" t="s">
        <v>37</v>
      </c>
      <c r="B13" s="77"/>
      <c r="C13" s="78">
        <v>87</v>
      </c>
      <c r="D13" s="78">
        <v>0</v>
      </c>
      <c r="E13" s="78">
        <v>0</v>
      </c>
      <c r="F13" s="78">
        <v>89</v>
      </c>
      <c r="G13" s="78">
        <v>0</v>
      </c>
      <c r="H13" s="78">
        <v>0</v>
      </c>
      <c r="I13" s="78">
        <v>97</v>
      </c>
      <c r="J13" s="78">
        <v>0</v>
      </c>
      <c r="K13" s="78">
        <v>0</v>
      </c>
      <c r="L13" s="78">
        <v>93</v>
      </c>
      <c r="M13" s="78">
        <v>0</v>
      </c>
      <c r="N13" s="78">
        <v>0</v>
      </c>
      <c r="O13" s="75"/>
      <c r="P13" s="77"/>
      <c r="Q13" s="78">
        <v>93.25</v>
      </c>
      <c r="R13" s="78">
        <v>0</v>
      </c>
      <c r="S13" s="78">
        <v>0</v>
      </c>
      <c r="T13" s="78">
        <v>97.5</v>
      </c>
      <c r="U13" s="78"/>
      <c r="V13" s="78"/>
      <c r="W13" s="78"/>
      <c r="X13" s="78"/>
      <c r="Y13" s="78"/>
      <c r="Z13" s="78"/>
      <c r="AA13" s="78"/>
      <c r="AB13" s="78"/>
    </row>
    <row r="14" spans="1:28" x14ac:dyDescent="0.25">
      <c r="A14" s="82" t="s">
        <v>98</v>
      </c>
      <c r="B14" s="77"/>
      <c r="C14" s="78">
        <v>11</v>
      </c>
      <c r="D14" s="78">
        <v>11</v>
      </c>
      <c r="E14" s="78">
        <v>11</v>
      </c>
      <c r="F14" s="78">
        <v>11</v>
      </c>
      <c r="G14" s="78">
        <v>11</v>
      </c>
      <c r="H14" s="78">
        <v>11</v>
      </c>
      <c r="I14" s="78">
        <v>11</v>
      </c>
      <c r="J14" s="78">
        <v>11</v>
      </c>
      <c r="K14" s="78">
        <v>11</v>
      </c>
      <c r="L14" s="78">
        <v>11</v>
      </c>
      <c r="M14" s="78">
        <v>11</v>
      </c>
      <c r="N14" s="78">
        <v>11</v>
      </c>
      <c r="O14" s="75"/>
      <c r="P14" s="77"/>
      <c r="Q14" s="78">
        <v>11</v>
      </c>
      <c r="R14" s="78">
        <v>11</v>
      </c>
      <c r="S14" s="78">
        <v>11</v>
      </c>
      <c r="T14" s="78">
        <v>11</v>
      </c>
      <c r="U14" s="78"/>
      <c r="V14" s="78"/>
      <c r="W14" s="78"/>
      <c r="X14" s="78"/>
      <c r="Y14" s="78"/>
      <c r="Z14" s="78"/>
      <c r="AA14" s="78"/>
      <c r="AB14" s="78"/>
    </row>
    <row r="15" spans="1:28" x14ac:dyDescent="0.25">
      <c r="A15" s="82" t="s">
        <v>99</v>
      </c>
      <c r="B15" s="77"/>
      <c r="C15" s="78">
        <v>35</v>
      </c>
      <c r="D15" s="78">
        <v>35</v>
      </c>
      <c r="E15" s="78">
        <v>35</v>
      </c>
      <c r="F15" s="78">
        <v>35</v>
      </c>
      <c r="G15" s="78">
        <v>35</v>
      </c>
      <c r="H15" s="78">
        <v>35</v>
      </c>
      <c r="I15" s="78">
        <v>35</v>
      </c>
      <c r="J15" s="78">
        <v>35</v>
      </c>
      <c r="K15" s="78">
        <v>35</v>
      </c>
      <c r="L15" s="78">
        <v>35</v>
      </c>
      <c r="M15" s="78">
        <v>35</v>
      </c>
      <c r="N15" s="78">
        <v>35</v>
      </c>
      <c r="O15" s="75"/>
      <c r="P15" s="77"/>
      <c r="Q15" s="78">
        <v>35</v>
      </c>
      <c r="R15" s="78">
        <v>35</v>
      </c>
      <c r="S15" s="78">
        <v>35</v>
      </c>
      <c r="T15" s="78">
        <v>35</v>
      </c>
      <c r="U15" s="78"/>
      <c r="V15" s="78"/>
      <c r="W15" s="78"/>
      <c r="X15" s="78"/>
      <c r="Y15" s="78"/>
      <c r="Z15" s="78"/>
      <c r="AA15" s="78"/>
      <c r="AB15" s="78"/>
    </row>
    <row r="16" spans="1:28" x14ac:dyDescent="0.25">
      <c r="A16" s="82" t="s">
        <v>100</v>
      </c>
      <c r="B16" s="77"/>
      <c r="C16" s="78">
        <v>682</v>
      </c>
      <c r="D16" s="78">
        <v>0</v>
      </c>
      <c r="E16" s="78">
        <v>575</v>
      </c>
      <c r="F16" s="78">
        <v>940</v>
      </c>
      <c r="G16" s="78">
        <v>630</v>
      </c>
      <c r="H16" s="78">
        <v>516</v>
      </c>
      <c r="I16" s="78">
        <v>342</v>
      </c>
      <c r="J16" s="78">
        <v>0</v>
      </c>
      <c r="K16" s="78">
        <v>610</v>
      </c>
      <c r="L16" s="78">
        <v>410</v>
      </c>
      <c r="M16" s="78">
        <v>578</v>
      </c>
      <c r="N16" s="78">
        <v>747</v>
      </c>
      <c r="O16" s="75"/>
      <c r="P16" s="77"/>
      <c r="Q16" s="78">
        <v>506</v>
      </c>
      <c r="R16" s="78">
        <v>1497</v>
      </c>
      <c r="S16" s="78">
        <v>570</v>
      </c>
      <c r="T16" s="78">
        <v>450</v>
      </c>
      <c r="U16" s="78"/>
      <c r="V16" s="78"/>
      <c r="W16" s="78"/>
      <c r="X16" s="78"/>
      <c r="Y16" s="78"/>
      <c r="Z16" s="78"/>
      <c r="AA16" s="78"/>
      <c r="AB16" s="78"/>
    </row>
    <row r="17" spans="1:28" x14ac:dyDescent="0.25">
      <c r="A17" s="82" t="s">
        <v>101</v>
      </c>
      <c r="B17" s="77"/>
      <c r="C17" s="78">
        <v>145</v>
      </c>
      <c r="D17" s="78">
        <v>145</v>
      </c>
      <c r="E17" s="78">
        <v>145</v>
      </c>
      <c r="F17" s="78">
        <v>145</v>
      </c>
      <c r="G17" s="78">
        <v>145</v>
      </c>
      <c r="H17" s="78">
        <v>145</v>
      </c>
      <c r="I17" s="78">
        <v>145</v>
      </c>
      <c r="J17" s="78">
        <v>145</v>
      </c>
      <c r="K17" s="78">
        <v>145</v>
      </c>
      <c r="L17" s="78">
        <v>145</v>
      </c>
      <c r="M17" s="78">
        <v>145</v>
      </c>
      <c r="N17" s="78">
        <v>145</v>
      </c>
      <c r="O17" s="75"/>
      <c r="P17" s="77"/>
      <c r="Q17" s="78">
        <v>150</v>
      </c>
      <c r="R17" s="78">
        <v>150</v>
      </c>
      <c r="S17" s="78">
        <v>150</v>
      </c>
      <c r="T17" s="78">
        <v>150</v>
      </c>
      <c r="U17" s="78"/>
      <c r="V17" s="78"/>
      <c r="W17" s="78"/>
      <c r="X17" s="78"/>
      <c r="Y17" s="78"/>
      <c r="Z17" s="78"/>
      <c r="AA17" s="78"/>
      <c r="AB17" s="78"/>
    </row>
    <row r="18" spans="1:28" x14ac:dyDescent="0.25">
      <c r="A18" s="82" t="s">
        <v>102</v>
      </c>
      <c r="B18" s="78">
        <v>320</v>
      </c>
      <c r="C18" s="78">
        <f>$P$18/12</f>
        <v>26.666666666666668</v>
      </c>
      <c r="D18" s="78">
        <f>$P$18/12</f>
        <v>26.666666666666668</v>
      </c>
      <c r="E18" s="78">
        <f t="shared" ref="E18:N18" si="0">$P$18/12</f>
        <v>26.666666666666668</v>
      </c>
      <c r="F18" s="78">
        <f t="shared" si="0"/>
        <v>26.666666666666668</v>
      </c>
      <c r="G18" s="78">
        <f t="shared" si="0"/>
        <v>26.666666666666668</v>
      </c>
      <c r="H18" s="78">
        <f t="shared" si="0"/>
        <v>26.666666666666668</v>
      </c>
      <c r="I18" s="78">
        <f t="shared" si="0"/>
        <v>26.666666666666668</v>
      </c>
      <c r="J18" s="78">
        <f t="shared" si="0"/>
        <v>26.666666666666668</v>
      </c>
      <c r="K18" s="78">
        <f t="shared" si="0"/>
        <v>26.666666666666668</v>
      </c>
      <c r="L18" s="78">
        <f t="shared" si="0"/>
        <v>26.666666666666668</v>
      </c>
      <c r="M18" s="78">
        <f t="shared" si="0"/>
        <v>26.666666666666668</v>
      </c>
      <c r="N18" s="78">
        <f t="shared" si="0"/>
        <v>26.666666666666668</v>
      </c>
      <c r="O18" s="75"/>
      <c r="P18" s="78">
        <v>320</v>
      </c>
      <c r="Q18" s="78">
        <f>$P$18/12</f>
        <v>26.666666666666668</v>
      </c>
      <c r="R18" s="78">
        <f>$P$18/12</f>
        <v>26.666666666666668</v>
      </c>
      <c r="S18" s="78">
        <f t="shared" ref="S18:T18" si="1">$P$18/12</f>
        <v>26.666666666666668</v>
      </c>
      <c r="T18" s="78">
        <f t="shared" si="1"/>
        <v>26.666666666666668</v>
      </c>
      <c r="U18" s="78"/>
      <c r="V18" s="78"/>
      <c r="W18" s="78"/>
      <c r="X18" s="78"/>
      <c r="Y18" s="78"/>
      <c r="Z18" s="78"/>
      <c r="AA18" s="78"/>
      <c r="AB18" s="78"/>
    </row>
    <row r="19" spans="1:28" x14ac:dyDescent="0.25">
      <c r="A19" s="82" t="s">
        <v>103</v>
      </c>
      <c r="B19" s="78">
        <v>287</v>
      </c>
      <c r="C19" s="78">
        <f>$B$19/12</f>
        <v>23.916666666666668</v>
      </c>
      <c r="D19" s="78">
        <f t="shared" ref="D19:N19" si="2">$B$19/12</f>
        <v>23.916666666666668</v>
      </c>
      <c r="E19" s="78">
        <f t="shared" si="2"/>
        <v>23.916666666666668</v>
      </c>
      <c r="F19" s="78">
        <f t="shared" si="2"/>
        <v>23.916666666666668</v>
      </c>
      <c r="G19" s="78">
        <f t="shared" si="2"/>
        <v>23.916666666666668</v>
      </c>
      <c r="H19" s="78">
        <f t="shared" si="2"/>
        <v>23.916666666666668</v>
      </c>
      <c r="I19" s="78">
        <f t="shared" si="2"/>
        <v>23.916666666666668</v>
      </c>
      <c r="J19" s="78">
        <f t="shared" si="2"/>
        <v>23.916666666666668</v>
      </c>
      <c r="K19" s="78">
        <f t="shared" si="2"/>
        <v>23.916666666666668</v>
      </c>
      <c r="L19" s="78">
        <f t="shared" si="2"/>
        <v>23.916666666666668</v>
      </c>
      <c r="M19" s="78">
        <f t="shared" si="2"/>
        <v>23.916666666666668</v>
      </c>
      <c r="N19" s="78">
        <f t="shared" si="2"/>
        <v>23.916666666666668</v>
      </c>
      <c r="O19" s="75"/>
      <c r="P19" s="78">
        <v>290</v>
      </c>
      <c r="Q19" s="78">
        <f>$P$19/12</f>
        <v>24.166666666666668</v>
      </c>
      <c r="R19" s="78">
        <f>$P$19/12</f>
        <v>24.166666666666668</v>
      </c>
      <c r="S19" s="78">
        <f t="shared" ref="S19:T19" si="3">$P$19/12</f>
        <v>24.166666666666668</v>
      </c>
      <c r="T19" s="78">
        <f t="shared" si="3"/>
        <v>24.166666666666668</v>
      </c>
      <c r="U19" s="78"/>
      <c r="V19" s="78"/>
      <c r="W19" s="78"/>
      <c r="X19" s="78"/>
      <c r="Y19" s="78"/>
      <c r="Z19" s="78"/>
      <c r="AA19" s="78"/>
      <c r="AB19" s="78"/>
    </row>
    <row r="20" spans="1:28" x14ac:dyDescent="0.25">
      <c r="A20" s="82" t="s">
        <v>104</v>
      </c>
      <c r="B20" s="78">
        <v>250</v>
      </c>
      <c r="C20" s="78">
        <f>$P$20/12</f>
        <v>20.833333333333332</v>
      </c>
      <c r="D20" s="78">
        <f>$P$20/12</f>
        <v>20.833333333333332</v>
      </c>
      <c r="E20" s="78">
        <f t="shared" ref="E20:N20" si="4">$P$20/12</f>
        <v>20.833333333333332</v>
      </c>
      <c r="F20" s="78">
        <f t="shared" si="4"/>
        <v>20.833333333333332</v>
      </c>
      <c r="G20" s="78">
        <f t="shared" si="4"/>
        <v>20.833333333333332</v>
      </c>
      <c r="H20" s="78">
        <f t="shared" si="4"/>
        <v>20.833333333333332</v>
      </c>
      <c r="I20" s="78">
        <f t="shared" si="4"/>
        <v>20.833333333333332</v>
      </c>
      <c r="J20" s="78">
        <f t="shared" si="4"/>
        <v>20.833333333333332</v>
      </c>
      <c r="K20" s="78">
        <f t="shared" si="4"/>
        <v>20.833333333333332</v>
      </c>
      <c r="L20" s="78">
        <f t="shared" si="4"/>
        <v>20.833333333333332</v>
      </c>
      <c r="M20" s="78">
        <f t="shared" si="4"/>
        <v>20.833333333333332</v>
      </c>
      <c r="N20" s="78">
        <f t="shared" si="4"/>
        <v>20.833333333333332</v>
      </c>
      <c r="O20" s="75"/>
      <c r="P20" s="78">
        <v>250</v>
      </c>
      <c r="Q20" s="78">
        <f>$P$20/12</f>
        <v>20.833333333333332</v>
      </c>
      <c r="R20" s="78">
        <f>$P$20/12</f>
        <v>20.833333333333332</v>
      </c>
      <c r="S20" s="78">
        <f t="shared" ref="S20:T20" si="5">$P$20/12</f>
        <v>20.833333333333332</v>
      </c>
      <c r="T20" s="78">
        <f t="shared" si="5"/>
        <v>20.833333333333332</v>
      </c>
      <c r="U20" s="78"/>
      <c r="V20" s="78"/>
      <c r="W20" s="78"/>
      <c r="X20" s="78"/>
      <c r="Y20" s="78"/>
      <c r="Z20" s="78"/>
      <c r="AA20" s="78"/>
      <c r="AB20" s="78"/>
    </row>
    <row r="21" spans="1:28" x14ac:dyDescent="0.25">
      <c r="A21" s="77" t="s">
        <v>105</v>
      </c>
      <c r="B21" s="29"/>
      <c r="C21" s="78">
        <v>3500</v>
      </c>
      <c r="D21" s="78"/>
      <c r="E21" s="78">
        <v>0</v>
      </c>
      <c r="F21" s="78">
        <v>3770</v>
      </c>
      <c r="G21" s="78"/>
      <c r="H21" s="78">
        <v>0</v>
      </c>
      <c r="I21" s="78">
        <v>4100</v>
      </c>
      <c r="J21" s="78"/>
      <c r="K21" s="78">
        <v>0</v>
      </c>
      <c r="L21" s="78">
        <v>3600</v>
      </c>
      <c r="M21" s="78"/>
      <c r="N21" s="78">
        <v>0</v>
      </c>
      <c r="O21" s="75"/>
      <c r="P21" s="29"/>
      <c r="Q21" s="78">
        <v>3845</v>
      </c>
      <c r="R21" s="78"/>
      <c r="S21" s="78"/>
      <c r="T21" s="78">
        <v>3800</v>
      </c>
      <c r="U21" s="78"/>
      <c r="V21" s="78">
        <v>1360</v>
      </c>
      <c r="W21" s="78"/>
      <c r="X21" s="78"/>
      <c r="Y21" s="78">
        <v>1360</v>
      </c>
      <c r="Z21" s="78"/>
      <c r="AA21" s="78"/>
      <c r="AB21" s="78">
        <v>1360</v>
      </c>
    </row>
    <row r="22" spans="1:28" x14ac:dyDescent="0.25">
      <c r="A22" s="77" t="s">
        <v>106</v>
      </c>
      <c r="B22" s="88"/>
      <c r="C22" s="88"/>
      <c r="D22" s="89"/>
      <c r="E22" s="89"/>
      <c r="F22" s="89"/>
      <c r="G22" s="89"/>
      <c r="H22" s="89"/>
      <c r="I22" s="89">
        <v>1159</v>
      </c>
      <c r="J22" s="89"/>
      <c r="K22" s="89"/>
      <c r="L22" s="89"/>
      <c r="M22" s="89"/>
      <c r="N22" s="89">
        <v>172</v>
      </c>
      <c r="P22" s="77"/>
      <c r="Q22" s="77"/>
      <c r="R22" s="78"/>
      <c r="S22" s="29"/>
      <c r="T22" s="29"/>
      <c r="U22" s="29"/>
      <c r="V22" s="29"/>
      <c r="W22" s="29"/>
      <c r="X22" s="29"/>
      <c r="Y22" s="29"/>
      <c r="Z22" s="29"/>
      <c r="AA22" s="29"/>
      <c r="AB22" s="29"/>
    </row>
    <row r="23" spans="1:28" x14ac:dyDescent="0.25">
      <c r="D23" s="75"/>
      <c r="R23" s="75"/>
    </row>
    <row r="24" spans="1:28" x14ac:dyDescent="0.25">
      <c r="A24" s="11" t="s">
        <v>107</v>
      </c>
      <c r="B24" s="11"/>
      <c r="C24" s="76">
        <f>SUM(C3:C23)</f>
        <v>10526.416666666668</v>
      </c>
      <c r="D24" s="76">
        <f>SUM(D3:D23)</f>
        <v>6369.416666666667</v>
      </c>
      <c r="E24" s="76">
        <f t="shared" ref="E24" si="6">SUM(E3:E23)</f>
        <v>7734.416666666667</v>
      </c>
      <c r="F24" s="76">
        <f t="shared" ref="F24" si="7">SUM(F3:F23)</f>
        <v>12271.416666666666</v>
      </c>
      <c r="G24" s="76">
        <f t="shared" ref="G24" si="8">SUM(G3:G23)</f>
        <v>8347.4166666666661</v>
      </c>
      <c r="H24" s="76">
        <f t="shared" ref="H24" si="9">SUM(H3:H23)</f>
        <v>8150.416666666667</v>
      </c>
      <c r="I24" s="76">
        <f t="shared" ref="I24" si="10">SUM(I3:I23)</f>
        <v>13334.416666666668</v>
      </c>
      <c r="J24" s="76">
        <f t="shared" ref="J24" si="11">SUM(J3:J23)</f>
        <v>7964.416666666667</v>
      </c>
      <c r="K24" s="76">
        <f t="shared" ref="K24" si="12">SUM(K3:K23)</f>
        <v>8565.4166666666661</v>
      </c>
      <c r="L24" s="76">
        <f t="shared" ref="L24" si="13">SUM(L3:L23)</f>
        <v>12121.416666666666</v>
      </c>
      <c r="M24" s="76">
        <f t="shared" ref="M24" si="14">SUM(M3:M23)</f>
        <v>8665.4166666666661</v>
      </c>
      <c r="N24" s="76">
        <f t="shared" ref="N24" si="15">SUM(N3:N23)</f>
        <v>9082.4166666666661</v>
      </c>
      <c r="O24" s="76"/>
      <c r="P24" s="11"/>
      <c r="Q24" s="76">
        <f>SUM(Q3:Q23)</f>
        <v>12379.176666666666</v>
      </c>
      <c r="R24" s="76">
        <f>SUM(R3:R23)</f>
        <v>9514.6366666666672</v>
      </c>
      <c r="S24" s="76">
        <f t="shared" ref="S24:AB24" si="16">SUM(S3:S23)</f>
        <v>10103.746666666664</v>
      </c>
      <c r="T24" s="76">
        <f t="shared" si="16"/>
        <v>13397.496666666666</v>
      </c>
      <c r="U24" s="76">
        <f t="shared" si="16"/>
        <v>0</v>
      </c>
      <c r="V24" s="76">
        <f t="shared" si="16"/>
        <v>1360</v>
      </c>
      <c r="W24" s="76">
        <f t="shared" si="16"/>
        <v>0</v>
      </c>
      <c r="X24" s="76">
        <f t="shared" si="16"/>
        <v>0</v>
      </c>
      <c r="Y24" s="76">
        <f t="shared" si="16"/>
        <v>1360</v>
      </c>
      <c r="Z24" s="76">
        <f t="shared" si="16"/>
        <v>0</v>
      </c>
      <c r="AA24" s="76">
        <f t="shared" si="16"/>
        <v>0</v>
      </c>
      <c r="AB24" s="76">
        <f t="shared" si="16"/>
        <v>1360</v>
      </c>
    </row>
  </sheetData>
  <mergeCells count="2">
    <mergeCell ref="C1:N1"/>
    <mergeCell ref="P1:AB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Análisis Datos</vt:lpstr>
      <vt:lpstr>Cta Resultados</vt:lpstr>
      <vt:lpstr>Facturación</vt:lpstr>
      <vt:lpstr>Gastos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cp:lastPrinted>2019-10-29T09:49:03Z</cp:lastPrinted>
  <dcterms:created xsi:type="dcterms:W3CDTF">2019-01-08T13:20:58Z</dcterms:created>
  <dcterms:modified xsi:type="dcterms:W3CDTF">2019-12-02T11:28:32Z</dcterms:modified>
</cp:coreProperties>
</file>