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Diseño Dashboards\Clase 5\"/>
    </mc:Choice>
  </mc:AlternateContent>
  <xr:revisionPtr revIDLastSave="0" documentId="13_ncr:1_{7CB48E44-1A4F-4787-AD3B-12DCAE702533}" xr6:coauthVersionLast="43" xr6:coauthVersionMax="43" xr10:uidLastSave="{00000000-0000-0000-0000-000000000000}"/>
  <bookViews>
    <workbookView xWindow="-110" yWindow="-110" windowWidth="19420" windowHeight="11020" tabRatio="863" xr2:uid="{92CC657A-38E7-4A41-B255-05C7AC6466A0}"/>
  </bookViews>
  <sheets>
    <sheet name="Análisis Datos" sheetId="9" r:id="rId1"/>
    <sheet name="Cta Resultados" sheetId="6" r:id="rId2"/>
    <sheet name="Facturas" sheetId="1" r:id="rId3"/>
    <sheet name="Gastos personal" sheetId="4" r:id="rId4"/>
    <sheet name="Comerciales" sheetId="5" r:id="rId5"/>
    <sheet name="Gastos" sheetId="7" r:id="rId6"/>
  </sheets>
  <definedNames>
    <definedName name="_xlnm._FilterDatabase" localSheetId="2" hidden="1">Facturas!$A$1:$H$640</definedName>
    <definedName name="_xlnm._FilterDatabase" localSheetId="5" hidden="1">Gastos!$A$1:$O$154</definedName>
    <definedName name="_xlnm._FilterDatabase" localSheetId="3" hidden="1">'Gastos personal'!$A$1:$S$52</definedName>
  </definedName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6" i="6" l="1"/>
  <c r="AH6" i="6"/>
  <c r="AI6" i="6"/>
  <c r="AJ6" i="6"/>
  <c r="AK6" i="6"/>
  <c r="AL6" i="6"/>
  <c r="AM6" i="6"/>
  <c r="AN6" i="6"/>
  <c r="AO6" i="6"/>
  <c r="AP6" i="6"/>
  <c r="AQ6" i="6"/>
  <c r="AF6" i="6"/>
  <c r="AG3" i="6"/>
  <c r="AH3" i="6"/>
  <c r="AI3" i="6"/>
  <c r="AJ3" i="6"/>
  <c r="AK3" i="6"/>
  <c r="AL3" i="6"/>
  <c r="AM3" i="6"/>
  <c r="AN3" i="6"/>
  <c r="AO3" i="6"/>
  <c r="AP3" i="6"/>
  <c r="AQ3" i="6"/>
  <c r="AF3" i="6"/>
  <c r="AG4" i="6"/>
  <c r="AH4" i="6"/>
  <c r="AI4" i="6"/>
  <c r="AJ4" i="6"/>
  <c r="AK4" i="6"/>
  <c r="AL4" i="6"/>
  <c r="AM4" i="6"/>
  <c r="AN4" i="6"/>
  <c r="AO4" i="6"/>
  <c r="AP4" i="6"/>
  <c r="AQ4" i="6"/>
  <c r="AF4" i="6"/>
  <c r="R6" i="6"/>
  <c r="S6" i="6"/>
  <c r="T6" i="6"/>
  <c r="U6" i="6"/>
  <c r="V6" i="6"/>
  <c r="W6" i="6"/>
  <c r="X6" i="6"/>
  <c r="Y6" i="6"/>
  <c r="Z6" i="6"/>
  <c r="AA6" i="6"/>
  <c r="AB6" i="6"/>
  <c r="Q6" i="6"/>
  <c r="O4" i="9" l="1"/>
  <c r="E6" i="5"/>
  <c r="D6" i="5"/>
  <c r="C6" i="5"/>
  <c r="S39" i="4"/>
  <c r="S30" i="4"/>
  <c r="AR26" i="6"/>
  <c r="AR25" i="6"/>
  <c r="AR18" i="6"/>
  <c r="AP11" i="6"/>
  <c r="AL11" i="6"/>
  <c r="AH11" i="6"/>
  <c r="AQ11" i="6"/>
  <c r="AM11" i="6"/>
  <c r="AI11" i="6"/>
  <c r="AN11" i="6"/>
  <c r="AJ11" i="6"/>
  <c r="AF11" i="6"/>
  <c r="AO11" i="6"/>
  <c r="AK11" i="6"/>
  <c r="AG11" i="6"/>
  <c r="AR14" i="6"/>
  <c r="AR12" i="6"/>
  <c r="AI22" i="6" l="1"/>
  <c r="AI23" i="6" s="1"/>
  <c r="AL9" i="6"/>
  <c r="AK19" i="6"/>
  <c r="AQ19" i="6"/>
  <c r="AR8" i="6"/>
  <c r="AM22" i="6"/>
  <c r="AM23" i="6" s="1"/>
  <c r="AO22" i="6"/>
  <c r="AM21" i="6"/>
  <c r="AJ21" i="6"/>
  <c r="AN21" i="6"/>
  <c r="AK22" i="6"/>
  <c r="AK23" i="6" s="1"/>
  <c r="AQ21" i="6"/>
  <c r="AI21" i="6"/>
  <c r="AF21" i="6"/>
  <c r="AH19" i="6"/>
  <c r="AP19" i="6"/>
  <c r="AI19" i="6"/>
  <c r="AL19" i="6"/>
  <c r="AG19" i="6"/>
  <c r="AR3" i="6"/>
  <c r="AR4" i="6"/>
  <c r="AH21" i="6"/>
  <c r="AH9" i="6"/>
  <c r="AL21" i="6"/>
  <c r="AP21" i="6"/>
  <c r="AP9" i="6"/>
  <c r="AR11" i="6"/>
  <c r="AF19" i="6"/>
  <c r="AJ19" i="6"/>
  <c r="AN19" i="6"/>
  <c r="AR15" i="6"/>
  <c r="AG22" i="6"/>
  <c r="AI9" i="6"/>
  <c r="AR13" i="6"/>
  <c r="AP22" i="6"/>
  <c r="AH22" i="6"/>
  <c r="AR7" i="6"/>
  <c r="AR16" i="6"/>
  <c r="AR17" i="6"/>
  <c r="AG21" i="6"/>
  <c r="AG9" i="6"/>
  <c r="AK21" i="6"/>
  <c r="AO21" i="6"/>
  <c r="AJ9" i="6"/>
  <c r="AL22" i="6" l="1"/>
  <c r="AL23" i="6" s="1"/>
  <c r="AJ22" i="6"/>
  <c r="AJ27" i="6" s="1"/>
  <c r="AJ29" i="6" s="1"/>
  <c r="AJ30" i="6" s="1"/>
  <c r="AO9" i="6"/>
  <c r="AQ22" i="6"/>
  <c r="AQ23" i="6" s="1"/>
  <c r="AQ9" i="6"/>
  <c r="AO19" i="6"/>
  <c r="AK9" i="6"/>
  <c r="AM27" i="6"/>
  <c r="AM29" i="6" s="1"/>
  <c r="AM30" i="6" s="1"/>
  <c r="AM9" i="6"/>
  <c r="AM19" i="6"/>
  <c r="AF9" i="6"/>
  <c r="AR6" i="6"/>
  <c r="AR9" i="6" s="1"/>
  <c r="AN22" i="6"/>
  <c r="AN27" i="6" s="1"/>
  <c r="AN29" i="6" s="1"/>
  <c r="AN30" i="6" s="1"/>
  <c r="AN9" i="6"/>
  <c r="AK27" i="6"/>
  <c r="AK29" i="6" s="1"/>
  <c r="AK30" i="6" s="1"/>
  <c r="AJ23" i="6"/>
  <c r="AI27" i="6"/>
  <c r="AI29" i="6" s="1"/>
  <c r="AI30" i="6" s="1"/>
  <c r="AF22" i="6"/>
  <c r="AR21" i="6"/>
  <c r="AP23" i="6"/>
  <c r="AP27" i="6"/>
  <c r="AP29" i="6" s="1"/>
  <c r="AP30" i="6" s="1"/>
  <c r="AH23" i="6"/>
  <c r="AH27" i="6"/>
  <c r="AH29" i="6" s="1"/>
  <c r="AH30" i="6" s="1"/>
  <c r="AO23" i="6"/>
  <c r="AO27" i="6"/>
  <c r="AO29" i="6" s="1"/>
  <c r="AO30" i="6" s="1"/>
  <c r="AG23" i="6"/>
  <c r="AG27" i="6"/>
  <c r="AG29" i="6" s="1"/>
  <c r="AG30" i="6" s="1"/>
  <c r="AR22" i="6" l="1"/>
  <c r="AQ27" i="6"/>
  <c r="AQ29" i="6" s="1"/>
  <c r="AQ30" i="6" s="1"/>
  <c r="AL27" i="6"/>
  <c r="AL29" i="6" s="1"/>
  <c r="AL30" i="6" s="1"/>
  <c r="AN23" i="6"/>
  <c r="AF27" i="6"/>
  <c r="AF29" i="6" s="1"/>
  <c r="AF30" i="6" s="1"/>
  <c r="AF23" i="6"/>
  <c r="AR27" i="6" l="1"/>
  <c r="AR29" i="6"/>
  <c r="AR30" i="6" s="1"/>
  <c r="R14" i="6"/>
  <c r="S14" i="6"/>
  <c r="T14" i="6"/>
  <c r="U14" i="6"/>
  <c r="V14" i="6"/>
  <c r="W14" i="6"/>
  <c r="X14" i="6"/>
  <c r="Y14" i="6"/>
  <c r="Z14" i="6"/>
  <c r="AA14" i="6"/>
  <c r="AB14" i="6"/>
  <c r="Q14" i="6"/>
  <c r="R13" i="6" l="1"/>
  <c r="S13" i="6"/>
  <c r="T13" i="6"/>
  <c r="U13" i="6"/>
  <c r="W13" i="6"/>
  <c r="X13" i="6"/>
  <c r="Y13" i="6"/>
  <c r="Z13" i="6"/>
  <c r="AA13" i="6"/>
  <c r="R18" i="6" l="1"/>
  <c r="S18" i="6"/>
  <c r="T18" i="6"/>
  <c r="U18" i="6"/>
  <c r="V18" i="6"/>
  <c r="W18" i="6"/>
  <c r="X18" i="6"/>
  <c r="Y18" i="6"/>
  <c r="Z18" i="6"/>
  <c r="AA18" i="6"/>
  <c r="AB18" i="6"/>
  <c r="Q18" i="6"/>
  <c r="AB17" i="6"/>
  <c r="AA17" i="6"/>
  <c r="Z17" i="6"/>
  <c r="Y17" i="6"/>
  <c r="X17" i="6"/>
  <c r="W17" i="6"/>
  <c r="V17" i="6"/>
  <c r="U17" i="6"/>
  <c r="T17" i="6"/>
  <c r="S17" i="6"/>
  <c r="R17" i="6"/>
  <c r="Q17" i="6"/>
  <c r="AB16" i="6"/>
  <c r="AA16" i="6"/>
  <c r="Z16" i="6"/>
  <c r="Y16" i="6"/>
  <c r="X16" i="6"/>
  <c r="W16" i="6"/>
  <c r="V16" i="6"/>
  <c r="U16" i="6"/>
  <c r="T16" i="6"/>
  <c r="S16" i="6"/>
  <c r="R16" i="6"/>
  <c r="Q16" i="6"/>
  <c r="AA15" i="6"/>
  <c r="Z15" i="6"/>
  <c r="Y15" i="6"/>
  <c r="X15" i="6"/>
  <c r="W15" i="6"/>
  <c r="U15" i="6"/>
  <c r="T15" i="6"/>
  <c r="S15" i="6"/>
  <c r="R15" i="6"/>
  <c r="Q15" i="6"/>
  <c r="Q13" i="6"/>
  <c r="I149" i="7"/>
  <c r="F148" i="7"/>
  <c r="F147" i="7"/>
  <c r="F146" i="7"/>
  <c r="F145" i="7"/>
  <c r="F144" i="7"/>
  <c r="AA26" i="6" s="1"/>
  <c r="F143" i="7"/>
  <c r="Z26" i="6" s="1"/>
  <c r="Y26" i="6"/>
  <c r="X26" i="6"/>
  <c r="W26" i="6"/>
  <c r="V26" i="6"/>
  <c r="U26" i="6"/>
  <c r="T26" i="6"/>
  <c r="S26" i="6"/>
  <c r="R26" i="6"/>
  <c r="Q26" i="6"/>
  <c r="F142" i="7"/>
  <c r="V13" i="6"/>
  <c r="F133" i="7"/>
  <c r="F130" i="7"/>
  <c r="F129" i="7"/>
  <c r="F128" i="7"/>
  <c r="F127" i="7"/>
  <c r="V15" i="6"/>
  <c r="F125" i="7"/>
  <c r="AB13" i="6" s="1"/>
  <c r="AB15" i="6" l="1"/>
  <c r="AB26" i="6"/>
  <c r="AC18" i="6"/>
  <c r="Y11" i="6"/>
  <c r="U11" i="6"/>
  <c r="X11" i="6"/>
  <c r="T11" i="6"/>
  <c r="W11" i="6"/>
  <c r="S11" i="6"/>
  <c r="Z11" i="6"/>
  <c r="V11" i="6"/>
  <c r="R11" i="6"/>
  <c r="Q11" i="6"/>
  <c r="AA11" i="6"/>
  <c r="C9" i="5"/>
  <c r="C14" i="5" s="1"/>
  <c r="AB11" i="6" l="1"/>
  <c r="C11" i="5"/>
  <c r="C13" i="5"/>
  <c r="C12" i="5"/>
  <c r="O6" i="5"/>
  <c r="S52" i="4" l="1"/>
  <c r="S51" i="4"/>
  <c r="S50" i="4"/>
  <c r="S49" i="4"/>
  <c r="S48" i="4"/>
  <c r="S47" i="4"/>
  <c r="S46" i="4"/>
  <c r="S45" i="4"/>
  <c r="S44" i="4"/>
  <c r="S43" i="4"/>
  <c r="S42" i="4"/>
  <c r="S41" i="4"/>
  <c r="S40" i="4"/>
  <c r="S38" i="4"/>
  <c r="S37" i="4"/>
  <c r="S36" i="4"/>
  <c r="S35" i="4"/>
  <c r="S34" i="4"/>
  <c r="S33" i="4"/>
  <c r="S32" i="4"/>
  <c r="S31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S6" i="4"/>
  <c r="S5" i="4"/>
  <c r="S4" i="4"/>
  <c r="S3" i="4"/>
  <c r="S2" i="4"/>
  <c r="AC26" i="6" l="1"/>
  <c r="AC13" i="6" l="1"/>
  <c r="AC17" i="6"/>
  <c r="AC15" i="6"/>
  <c r="AC14" i="6"/>
  <c r="AC16" i="6"/>
  <c r="G8" i="9" l="1"/>
  <c r="F4" i="9" s="1"/>
  <c r="R8" i="6"/>
  <c r="S8" i="6"/>
  <c r="T8" i="6"/>
  <c r="U8" i="6"/>
  <c r="V8" i="6"/>
  <c r="W8" i="6"/>
  <c r="X8" i="6"/>
  <c r="Y8" i="6"/>
  <c r="Z8" i="6"/>
  <c r="AA8" i="6"/>
  <c r="AB8" i="6"/>
  <c r="Q8" i="6"/>
  <c r="R7" i="6"/>
  <c r="S7" i="6"/>
  <c r="T7" i="6"/>
  <c r="U7" i="6"/>
  <c r="V7" i="6"/>
  <c r="W7" i="6"/>
  <c r="X7" i="6"/>
  <c r="Y7" i="6"/>
  <c r="Z7" i="6"/>
  <c r="AA7" i="6"/>
  <c r="AB7" i="6"/>
  <c r="Q7" i="6"/>
  <c r="R4" i="6"/>
  <c r="R3" i="6" s="1"/>
  <c r="S4" i="6"/>
  <c r="S3" i="6" s="1"/>
  <c r="T4" i="6"/>
  <c r="T3" i="6" s="1"/>
  <c r="U4" i="6"/>
  <c r="U3" i="6" s="1"/>
  <c r="V4" i="6"/>
  <c r="V3" i="6" s="1"/>
  <c r="W4" i="6"/>
  <c r="W3" i="6" s="1"/>
  <c r="X4" i="6"/>
  <c r="X3" i="6" s="1"/>
  <c r="Y4" i="6"/>
  <c r="Y3" i="6" s="1"/>
  <c r="Z4" i="6"/>
  <c r="Z3" i="6" s="1"/>
  <c r="AA4" i="6"/>
  <c r="AA3" i="6" s="1"/>
  <c r="AB4" i="6"/>
  <c r="AB3" i="6" s="1"/>
  <c r="Q4" i="6"/>
  <c r="Q3" i="6" s="1"/>
  <c r="AC25" i="6"/>
  <c r="J8" i="9" l="1"/>
  <c r="O15" i="9"/>
  <c r="J15" i="9"/>
  <c r="O8" i="9"/>
  <c r="O13" i="9"/>
  <c r="J13" i="9"/>
  <c r="G13" i="9"/>
  <c r="J9" i="9"/>
  <c r="O11" i="9"/>
  <c r="J11" i="9"/>
  <c r="G11" i="9"/>
  <c r="O9" i="9"/>
  <c r="G9" i="9"/>
  <c r="Q21" i="6"/>
  <c r="AB1" i="6"/>
  <c r="R19" i="6"/>
  <c r="AA21" i="6"/>
  <c r="S21" i="6"/>
  <c r="Z21" i="6"/>
  <c r="U21" i="6"/>
  <c r="W22" i="6"/>
  <c r="W27" i="6" s="1"/>
  <c r="V21" i="6"/>
  <c r="AB21" i="6"/>
  <c r="X21" i="6"/>
  <c r="T21" i="6"/>
  <c r="AC8" i="6"/>
  <c r="AC7" i="6"/>
  <c r="W21" i="6"/>
  <c r="Y21" i="6"/>
  <c r="R1" i="6"/>
  <c r="W1" i="6"/>
  <c r="S1" i="6"/>
  <c r="Y1" i="6"/>
  <c r="U1" i="6"/>
  <c r="Z1" i="6"/>
  <c r="Q1" i="6"/>
  <c r="V1" i="6"/>
  <c r="AA1" i="6"/>
  <c r="T1" i="6"/>
  <c r="X1" i="6"/>
  <c r="S19" i="6"/>
  <c r="W19" i="6"/>
  <c r="AB19" i="6"/>
  <c r="AC4" i="6"/>
  <c r="V19" i="6"/>
  <c r="Q19" i="6"/>
  <c r="AC12" i="6"/>
  <c r="K11" i="9" l="1"/>
  <c r="K13" i="9"/>
  <c r="K9" i="9"/>
  <c r="Q15" i="9"/>
  <c r="R15" i="9" s="1"/>
  <c r="Q9" i="9"/>
  <c r="R9" i="9" s="1"/>
  <c r="Q13" i="9"/>
  <c r="R13" i="9" s="1"/>
  <c r="Q11" i="9"/>
  <c r="R11" i="9" s="1"/>
  <c r="L13" i="9"/>
  <c r="H13" i="9"/>
  <c r="P13" i="9" s="1"/>
  <c r="H9" i="9"/>
  <c r="P9" i="9" s="1"/>
  <c r="L11" i="9"/>
  <c r="H11" i="9"/>
  <c r="P11" i="9" s="1"/>
  <c r="L9" i="9"/>
  <c r="L15" i="9"/>
  <c r="D12" i="5"/>
  <c r="D13" i="5"/>
  <c r="D14" i="5"/>
  <c r="D11" i="5"/>
  <c r="R9" i="6"/>
  <c r="U9" i="6"/>
  <c r="S9" i="6"/>
  <c r="W9" i="6"/>
  <c r="S22" i="6"/>
  <c r="AA22" i="6"/>
  <c r="AA27" i="6" s="1"/>
  <c r="Y9" i="6"/>
  <c r="R21" i="6"/>
  <c r="AC21" i="6" s="1"/>
  <c r="Z9" i="6"/>
  <c r="R22" i="6"/>
  <c r="X22" i="6"/>
  <c r="X27" i="6" s="1"/>
  <c r="T9" i="6"/>
  <c r="AB22" i="6"/>
  <c r="AB27" i="6" s="1"/>
  <c r="AB9" i="6"/>
  <c r="U22" i="6"/>
  <c r="U27" i="6" s="1"/>
  <c r="V22" i="6"/>
  <c r="V27" i="6" s="1"/>
  <c r="Y22" i="6"/>
  <c r="Y27" i="6" s="1"/>
  <c r="X9" i="6"/>
  <c r="AA9" i="6"/>
  <c r="V9" i="6"/>
  <c r="Z22" i="6"/>
  <c r="Z27" i="6" s="1"/>
  <c r="X19" i="6"/>
  <c r="T22" i="6"/>
  <c r="T27" i="6" s="1"/>
  <c r="Q9" i="6"/>
  <c r="Q22" i="6"/>
  <c r="Q27" i="6" s="1"/>
  <c r="AC6" i="6"/>
  <c r="Z19" i="6"/>
  <c r="Y19" i="6"/>
  <c r="U19" i="6"/>
  <c r="T19" i="6"/>
  <c r="AA19" i="6"/>
  <c r="AC11" i="6"/>
  <c r="AC3" i="6"/>
  <c r="W23" i="6"/>
  <c r="M11" i="9" l="1"/>
  <c r="M13" i="9"/>
  <c r="M9" i="9"/>
  <c r="R27" i="6"/>
  <c r="R29" i="6" s="1"/>
  <c r="R30" i="6" s="1"/>
  <c r="S27" i="6"/>
  <c r="S29" i="6" s="1"/>
  <c r="AA23" i="6"/>
  <c r="S23" i="6"/>
  <c r="R23" i="6"/>
  <c r="U23" i="6"/>
  <c r="Q23" i="6"/>
  <c r="Z23" i="6"/>
  <c r="Z29" i="6"/>
  <c r="Z30" i="6" s="1"/>
  <c r="Y23" i="6"/>
  <c r="Y29" i="6"/>
  <c r="Y30" i="6" s="1"/>
  <c r="V29" i="6"/>
  <c r="V30" i="6" s="1"/>
  <c r="AC9" i="6"/>
  <c r="AA29" i="6"/>
  <c r="AA30" i="6" s="1"/>
  <c r="V23" i="6"/>
  <c r="W29" i="6"/>
  <c r="W30" i="6" s="1"/>
  <c r="U29" i="6"/>
  <c r="U30" i="6" s="1"/>
  <c r="T23" i="6"/>
  <c r="T29" i="6"/>
  <c r="T30" i="6" s="1"/>
  <c r="X23" i="6"/>
  <c r="X29" i="6"/>
  <c r="X30" i="6" s="1"/>
  <c r="AB23" i="6"/>
  <c r="AB29" i="6"/>
  <c r="AC22" i="6"/>
  <c r="S30" i="6" l="1"/>
  <c r="G15" i="9"/>
  <c r="K15" i="9" s="1"/>
  <c r="AB30" i="6"/>
  <c r="AC27" i="6"/>
  <c r="Q29" i="6"/>
  <c r="H15" i="9" s="1"/>
  <c r="P15" i="9" l="1"/>
  <c r="M15" i="9"/>
  <c r="AC29" i="6"/>
  <c r="AC30" i="6" s="1"/>
  <c r="Q30" i="6"/>
</calcChain>
</file>

<file path=xl/sharedStrings.xml><?xml version="1.0" encoding="utf-8"?>
<sst xmlns="http://schemas.openxmlformats.org/spreadsheetml/2006/main" count="1283" uniqueCount="132">
  <si>
    <t>Serie factura</t>
  </si>
  <si>
    <t>Fecha factura</t>
  </si>
  <si>
    <t>Nombre receptor</t>
  </si>
  <si>
    <t>Total base imponible</t>
  </si>
  <si>
    <t>Total suplidos</t>
  </si>
  <si>
    <t>Total IVA</t>
  </si>
  <si>
    <t>Total</t>
  </si>
  <si>
    <t>Total pendiente</t>
  </si>
  <si>
    <t>A</t>
  </si>
  <si>
    <t>M</t>
  </si>
  <si>
    <t>Num factura</t>
  </si>
  <si>
    <t>Referencia factura</t>
  </si>
  <si>
    <t>Nombre ( Proveedores )</t>
  </si>
  <si>
    <t>Base imponible</t>
  </si>
  <si>
    <t>Total IRPF</t>
  </si>
  <si>
    <t xml:space="preserve">Total pagado </t>
  </si>
  <si>
    <t>Estado</t>
  </si>
  <si>
    <t>Cobrada</t>
  </si>
  <si>
    <t>NO cobrado</t>
  </si>
  <si>
    <t>Parcialmente Cobrada</t>
  </si>
  <si>
    <t>TRABAJADOR</t>
  </si>
  <si>
    <t>BRUTO</t>
  </si>
  <si>
    <t>DED. S.SOC</t>
  </si>
  <si>
    <t>IRPF</t>
  </si>
  <si>
    <t>LIQUIDO</t>
  </si>
  <si>
    <t>CSTE EMPRE</t>
  </si>
  <si>
    <t>PR. P. EXT</t>
  </si>
  <si>
    <t>RET. ESPEC</t>
  </si>
  <si>
    <t>BON APREND</t>
  </si>
  <si>
    <t>DTO ESPECI</t>
  </si>
  <si>
    <t>I.I. CTA</t>
  </si>
  <si>
    <t>ANTI/EMBAR</t>
  </si>
  <si>
    <t>BONIFICACI</t>
  </si>
  <si>
    <t>ILT</t>
  </si>
  <si>
    <t>COMPL ILT</t>
  </si>
  <si>
    <t>000036</t>
  </si>
  <si>
    <t>000002</t>
  </si>
  <si>
    <t>000001</t>
  </si>
  <si>
    <t>000023</t>
  </si>
  <si>
    <t>000039</t>
  </si>
  <si>
    <t>000044</t>
  </si>
  <si>
    <t>000003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</si>
  <si>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</si>
  <si>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</si>
  <si>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</si>
  <si>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</si>
  <si>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</si>
  <si>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</si>
  <si>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</si>
  <si>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</si>
  <si>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</si>
  <si>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</si>
  <si>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</si>
  <si>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</si>
  <si>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</si>
  <si>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</si>
  <si>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</si>
  <si>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</si>
  <si>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</si>
  <si>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</si>
  <si>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</si>
  <si>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</si>
  <si>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</si>
  <si>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</si>
  <si>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</si>
  <si>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</si>
  <si>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TOTAL 2018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</si>
  <si>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</si>
  <si>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</si>
  <si>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</si>
  <si>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</si>
  <si>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</si>
  <si>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</si>
  <si>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</si>
  <si>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Resultado</t>
  </si>
  <si>
    <t>Facturas</t>
  </si>
  <si>
    <t>Mes</t>
  </si>
  <si>
    <t>Altas</t>
  </si>
  <si>
    <t>Acumulado</t>
  </si>
  <si>
    <t>Coste personal</t>
  </si>
  <si>
    <t>Etiquetas de fila</t>
  </si>
  <si>
    <t>Total general</t>
  </si>
  <si>
    <t>Etiquetas de columna</t>
  </si>
  <si>
    <t>Suma de Total base imponible</t>
  </si>
  <si>
    <t>Oficina</t>
  </si>
  <si>
    <t>Grupo</t>
  </si>
  <si>
    <t>Subgrupo</t>
  </si>
  <si>
    <t>Suministro</t>
  </si>
  <si>
    <t>Gasolina</t>
  </si>
  <si>
    <t>Servicios Profesionales</t>
  </si>
  <si>
    <t xml:space="preserve">Mantenimiento </t>
  </si>
  <si>
    <t>Colaborador Jurídico</t>
  </si>
  <si>
    <t>Colaborador Externo</t>
  </si>
  <si>
    <t>Material Oficina</t>
  </si>
  <si>
    <t>Agua</t>
  </si>
  <si>
    <t>Luz</t>
  </si>
  <si>
    <t>servicios Profesionales</t>
  </si>
  <si>
    <t>Publicidad, RRSS, WEB</t>
  </si>
  <si>
    <t>Office</t>
  </si>
  <si>
    <t>Limpieza</t>
  </si>
  <si>
    <t>Colaboradores Comerciales</t>
  </si>
  <si>
    <t xml:space="preserve">Colaboradores Comerciales </t>
  </si>
  <si>
    <t xml:space="preserve">Gas </t>
  </si>
  <si>
    <t xml:space="preserve">Telefonía </t>
  </si>
  <si>
    <t>cobrada</t>
  </si>
  <si>
    <t>Retenciones</t>
  </si>
  <si>
    <t>Informático</t>
  </si>
  <si>
    <t>Ratio Personal</t>
  </si>
  <si>
    <t>Ratio gastos Indirectos</t>
  </si>
  <si>
    <t>Gasto Extraor / Finan</t>
  </si>
  <si>
    <t>Resultado Neto antes de I.S.</t>
  </si>
  <si>
    <t>OFICINA</t>
  </si>
  <si>
    <t>pte devolver a Obiter</t>
  </si>
  <si>
    <t>Seguros</t>
  </si>
  <si>
    <t>Gastos Financiero</t>
  </si>
  <si>
    <t>Bankinter</t>
  </si>
  <si>
    <t>BBVA</t>
  </si>
  <si>
    <t>Caixa Geral</t>
  </si>
  <si>
    <t>CRE</t>
  </si>
  <si>
    <t>Unicaja</t>
  </si>
  <si>
    <t>Alquiler</t>
  </si>
  <si>
    <t>2019 Budget</t>
  </si>
  <si>
    <t>%</t>
  </si>
  <si>
    <t>Acum</t>
  </si>
  <si>
    <t>Acum 18</t>
  </si>
  <si>
    <t>Acum BG</t>
  </si>
  <si>
    <t>DASHBOARD ANALISIS DE NEGOCIO</t>
  </si>
  <si>
    <t>Comercial 1</t>
  </si>
  <si>
    <t>Comercial 2</t>
  </si>
  <si>
    <t>Comercial 3</t>
  </si>
  <si>
    <t>Comercial 4</t>
  </si>
  <si>
    <t>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</si>
</sst>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6" formatCode="#,###,##0.00;\-#,###,##0.00;"/>
    <numFmt numFmtId="167" formatCode="_-* #,##0\ _€_-;\-* #,##0\ _€_-;_-* &quot;-&quot;??\ _€_-;_-@_-"/>
    <numFmt numFmtId="168" formatCode="#,##0.00_ ;\-#,##0.00\ "/>
    <numFmt numFmtId="169" formatCode="_-* #,##0\ &quot;€&quot;_-;\-* #,##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4" fontId="0" fillId="0" borderId="0" xfId="0" applyNumberFormat="1"/>
    <xf numFmtId="0" fontId="4" fillId="0" borderId="1" xfId="0" applyFont="1" applyBorder="1"/>
    <xf numFmtId="166" fontId="5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quotePrefix="1" applyFont="1" applyBorder="1"/>
    <xf numFmtId="166" fontId="5" fillId="0" borderId="6" xfId="0" applyNumberFormat="1" applyFont="1" applyBorder="1"/>
    <xf numFmtId="0" fontId="3" fillId="2" borderId="0" xfId="0" applyFont="1" applyFill="1"/>
    <xf numFmtId="44" fontId="0" fillId="0" borderId="0" xfId="2" applyFont="1"/>
    <xf numFmtId="44" fontId="0" fillId="0" borderId="0" xfId="0" applyNumberForma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7" xfId="0" applyFont="1" applyFill="1" applyBorder="1" applyAlignment="1">
      <alignment horizontal="center"/>
    </xf>
    <xf numFmtId="3" fontId="8" fillId="5" borderId="9" xfId="0" applyNumberFormat="1" applyFont="1" applyFill="1" applyBorder="1" applyAlignment="1">
      <alignment horizontal="center"/>
    </xf>
    <xf numFmtId="0" fontId="8" fillId="8" borderId="10" xfId="0" applyFont="1" applyFill="1" applyBorder="1"/>
    <xf numFmtId="3" fontId="8" fillId="8" borderId="11" xfId="0" applyNumberFormat="1" applyFont="1" applyFill="1" applyBorder="1" applyAlignment="1">
      <alignment horizontal="center"/>
    </xf>
    <xf numFmtId="3" fontId="8" fillId="8" borderId="12" xfId="0" applyNumberFormat="1" applyFont="1" applyFill="1" applyBorder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center"/>
    </xf>
    <xf numFmtId="0" fontId="9" fillId="0" borderId="0" xfId="0" applyFont="1"/>
    <xf numFmtId="9" fontId="10" fillId="0" borderId="0" xfId="0" applyNumberFormat="1" applyFont="1" applyAlignment="1">
      <alignment horizontal="center"/>
    </xf>
    <xf numFmtId="0" fontId="8" fillId="4" borderId="1" xfId="0" applyFont="1" applyFill="1" applyBorder="1"/>
    <xf numFmtId="167" fontId="8" fillId="9" borderId="1" xfId="1" applyNumberFormat="1" applyFont="1" applyFill="1" applyBorder="1" applyAlignment="1">
      <alignment horizontal="center"/>
    </xf>
    <xf numFmtId="0" fontId="8" fillId="10" borderId="8" xfId="0" applyFont="1" applyFill="1" applyBorder="1"/>
    <xf numFmtId="3" fontId="8" fillId="10" borderId="8" xfId="0" applyNumberFormat="1" applyFont="1" applyFill="1" applyBorder="1" applyAlignment="1">
      <alignment horizontal="center"/>
    </xf>
    <xf numFmtId="9" fontId="11" fillId="0" borderId="0" xfId="0" applyNumberFormat="1" applyFont="1" applyAlignment="1">
      <alignment horizontal="center"/>
    </xf>
    <xf numFmtId="168" fontId="0" fillId="0" borderId="0" xfId="0" applyNumberFormat="1"/>
    <xf numFmtId="9" fontId="9" fillId="0" borderId="0" xfId="3" applyFont="1" applyAlignment="1">
      <alignment horizontal="center"/>
    </xf>
    <xf numFmtId="9" fontId="9" fillId="7" borderId="0" xfId="3" applyFont="1" applyFill="1" applyAlignment="1">
      <alignment horizontal="center"/>
    </xf>
    <xf numFmtId="3" fontId="8" fillId="4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0" fontId="8" fillId="0" borderId="1" xfId="0" applyFont="1" applyBorder="1"/>
    <xf numFmtId="3" fontId="8" fillId="0" borderId="1" xfId="0" applyNumberFormat="1" applyFont="1" applyBorder="1" applyAlignment="1">
      <alignment horizontal="center"/>
    </xf>
    <xf numFmtId="0" fontId="8" fillId="6" borderId="1" xfId="0" applyFont="1" applyFill="1" applyBorder="1"/>
    <xf numFmtId="3" fontId="8" fillId="6" borderId="1" xfId="0" applyNumberFormat="1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2" fillId="0" borderId="0" xfId="0" applyFont="1"/>
    <xf numFmtId="0" fontId="8" fillId="6" borderId="19" xfId="0" applyFont="1" applyFill="1" applyBorder="1"/>
    <xf numFmtId="3" fontId="8" fillId="6" borderId="7" xfId="0" applyNumberFormat="1" applyFont="1" applyFill="1" applyBorder="1" applyAlignment="1">
      <alignment horizontal="center"/>
    </xf>
    <xf numFmtId="3" fontId="8" fillId="5" borderId="20" xfId="0" applyNumberFormat="1" applyFont="1" applyFill="1" applyBorder="1" applyAlignment="1">
      <alignment horizontal="center"/>
    </xf>
    <xf numFmtId="0" fontId="0" fillId="0" borderId="1" xfId="0" applyBorder="1"/>
    <xf numFmtId="3" fontId="9" fillId="7" borderId="1" xfId="0" applyNumberFormat="1" applyFont="1" applyFill="1" applyBorder="1" applyAlignment="1">
      <alignment horizontal="center"/>
    </xf>
    <xf numFmtId="0" fontId="12" fillId="0" borderId="1" xfId="0" applyFont="1" applyBorder="1"/>
    <xf numFmtId="0" fontId="13" fillId="0" borderId="0" xfId="0" applyFont="1" applyAlignment="1">
      <alignment horizontal="right"/>
    </xf>
    <xf numFmtId="3" fontId="9" fillId="0" borderId="0" xfId="0" applyNumberFormat="1" applyFont="1" applyAlignment="1">
      <alignment horizontal="center"/>
    </xf>
    <xf numFmtId="3" fontId="9" fillId="6" borderId="1" xfId="0" applyNumberFormat="1" applyFont="1" applyFill="1" applyBorder="1" applyAlignment="1">
      <alignment horizontal="center"/>
    </xf>
    <xf numFmtId="0" fontId="8" fillId="8" borderId="1" xfId="0" applyFont="1" applyFill="1" applyBorder="1"/>
    <xf numFmtId="3" fontId="8" fillId="8" borderId="1" xfId="0" applyNumberFormat="1" applyFont="1" applyFill="1" applyBorder="1" applyAlignment="1">
      <alignment horizontal="center"/>
    </xf>
    <xf numFmtId="0" fontId="4" fillId="0" borderId="21" xfId="0" applyFont="1" applyBorder="1"/>
    <xf numFmtId="0" fontId="4" fillId="0" borderId="22" xfId="0" quotePrefix="1" applyFont="1" applyBorder="1"/>
    <xf numFmtId="0" fontId="0" fillId="0" borderId="23" xfId="0" applyBorder="1"/>
    <xf numFmtId="0" fontId="12" fillId="0" borderId="0" xfId="0" applyFont="1" applyAlignment="1">
      <alignment horizontal="center"/>
    </xf>
    <xf numFmtId="0" fontId="15" fillId="11" borderId="13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/>
    </xf>
    <xf numFmtId="0" fontId="8" fillId="15" borderId="1" xfId="0" applyFont="1" applyFill="1" applyBorder="1"/>
    <xf numFmtId="3" fontId="8" fillId="15" borderId="1" xfId="0" applyNumberFormat="1" applyFont="1" applyFill="1" applyBorder="1" applyAlignment="1">
      <alignment horizontal="center"/>
    </xf>
    <xf numFmtId="3" fontId="8" fillId="16" borderId="1" xfId="0" applyNumberFormat="1" applyFont="1" applyFill="1" applyBorder="1" applyAlignment="1">
      <alignment horizontal="center"/>
    </xf>
    <xf numFmtId="0" fontId="8" fillId="15" borderId="19" xfId="0" applyFont="1" applyFill="1" applyBorder="1"/>
    <xf numFmtId="3" fontId="8" fillId="15" borderId="7" xfId="0" applyNumberFormat="1" applyFont="1" applyFill="1" applyBorder="1" applyAlignment="1">
      <alignment horizontal="center"/>
    </xf>
    <xf numFmtId="3" fontId="8" fillId="16" borderId="20" xfId="0" applyNumberFormat="1" applyFont="1" applyFill="1" applyBorder="1" applyAlignment="1">
      <alignment horizontal="center"/>
    </xf>
    <xf numFmtId="3" fontId="9" fillId="15" borderId="1" xfId="0" applyNumberFormat="1" applyFont="1" applyFill="1" applyBorder="1" applyAlignment="1">
      <alignment horizontal="center"/>
    </xf>
    <xf numFmtId="0" fontId="8" fillId="17" borderId="1" xfId="0" applyFont="1" applyFill="1" applyBorder="1"/>
    <xf numFmtId="167" fontId="8" fillId="18" borderId="1" xfId="1" applyNumberFormat="1" applyFont="1" applyFill="1" applyBorder="1" applyAlignment="1">
      <alignment horizontal="center"/>
    </xf>
    <xf numFmtId="3" fontId="8" fillId="19" borderId="9" xfId="0" applyNumberFormat="1" applyFont="1" applyFill="1" applyBorder="1" applyAlignment="1">
      <alignment horizontal="center"/>
    </xf>
    <xf numFmtId="0" fontId="7" fillId="20" borderId="7" xfId="0" applyFont="1" applyFill="1" applyBorder="1" applyAlignment="1">
      <alignment horizontal="center"/>
    </xf>
    <xf numFmtId="0" fontId="8" fillId="21" borderId="1" xfId="0" applyFont="1" applyFill="1" applyBorder="1"/>
    <xf numFmtId="3" fontId="8" fillId="21" borderId="1" xfId="0" applyNumberFormat="1" applyFont="1" applyFill="1" applyBorder="1" applyAlignment="1">
      <alignment horizontal="center"/>
    </xf>
    <xf numFmtId="3" fontId="8" fillId="22" borderId="1" xfId="0" applyNumberFormat="1" applyFont="1" applyFill="1" applyBorder="1" applyAlignment="1">
      <alignment horizontal="center"/>
    </xf>
    <xf numFmtId="0" fontId="8" fillId="21" borderId="19" xfId="0" applyFont="1" applyFill="1" applyBorder="1"/>
    <xf numFmtId="3" fontId="8" fillId="21" borderId="7" xfId="0" applyNumberFormat="1" applyFont="1" applyFill="1" applyBorder="1" applyAlignment="1">
      <alignment horizontal="center"/>
    </xf>
    <xf numFmtId="3" fontId="8" fillId="22" borderId="20" xfId="0" applyNumberFormat="1" applyFont="1" applyFill="1" applyBorder="1" applyAlignment="1">
      <alignment horizontal="center"/>
    </xf>
    <xf numFmtId="3" fontId="9" fillId="21" borderId="1" xfId="0" applyNumberFormat="1" applyFont="1" applyFill="1" applyBorder="1" applyAlignment="1">
      <alignment horizontal="center"/>
    </xf>
    <xf numFmtId="0" fontId="8" fillId="23" borderId="1" xfId="0" applyFont="1" applyFill="1" applyBorder="1"/>
    <xf numFmtId="167" fontId="8" fillId="24" borderId="1" xfId="1" applyNumberFormat="1" applyFont="1" applyFill="1" applyBorder="1" applyAlignment="1">
      <alignment horizontal="center"/>
    </xf>
    <xf numFmtId="3" fontId="8" fillId="25" borderId="9" xfId="0" applyNumberFormat="1" applyFont="1" applyFill="1" applyBorder="1" applyAlignment="1">
      <alignment horizontal="center"/>
    </xf>
    <xf numFmtId="2" fontId="0" fillId="0" borderId="0" xfId="0" applyNumberFormat="1"/>
    <xf numFmtId="0" fontId="2" fillId="11" borderId="24" xfId="0" applyFont="1" applyFill="1" applyBorder="1" applyAlignment="1">
      <alignment horizontal="center"/>
    </xf>
    <xf numFmtId="44" fontId="0" fillId="0" borderId="13" xfId="2" applyFont="1" applyBorder="1" applyAlignment="1">
      <alignment horizontal="center"/>
    </xf>
    <xf numFmtId="0" fontId="0" fillId="12" borderId="25" xfId="0" applyFill="1" applyBorder="1" applyAlignment="1">
      <alignment horizontal="center"/>
    </xf>
    <xf numFmtId="9" fontId="0" fillId="0" borderId="18" xfId="3" applyFont="1" applyBorder="1"/>
    <xf numFmtId="9" fontId="0" fillId="0" borderId="27" xfId="3" applyFont="1" applyBorder="1"/>
    <xf numFmtId="0" fontId="0" fillId="12" borderId="17" xfId="0" applyFill="1" applyBorder="1" applyAlignment="1">
      <alignment horizontal="center"/>
    </xf>
    <xf numFmtId="169" fontId="0" fillId="0" borderId="13" xfId="2" applyNumberFormat="1" applyFont="1" applyBorder="1" applyAlignment="1">
      <alignment horizontal="center"/>
    </xf>
    <xf numFmtId="169" fontId="0" fillId="0" borderId="18" xfId="2" applyNumberFormat="1" applyFont="1" applyBorder="1"/>
    <xf numFmtId="169" fontId="0" fillId="0" borderId="0" xfId="2" applyNumberFormat="1" applyFont="1"/>
    <xf numFmtId="169" fontId="0" fillId="0" borderId="27" xfId="2" applyNumberFormat="1" applyFont="1" applyBorder="1" applyAlignment="1">
      <alignment horizontal="center"/>
    </xf>
    <xf numFmtId="0" fontId="16" fillId="13" borderId="0" xfId="0" applyFont="1" applyFill="1" applyAlignment="1">
      <alignment horizontal="center" vertical="center"/>
    </xf>
    <xf numFmtId="0" fontId="14" fillId="12" borderId="14" xfId="0" applyFont="1" applyFill="1" applyBorder="1" applyAlignment="1">
      <alignment horizontal="center" vertical="center" wrapText="1"/>
    </xf>
    <xf numFmtId="0" fontId="14" fillId="12" borderId="26" xfId="0" applyFont="1" applyFill="1" applyBorder="1" applyAlignment="1">
      <alignment horizontal="center" vertical="center" wrapText="1"/>
    </xf>
    <xf numFmtId="0" fontId="14" fillId="12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9" fontId="18" fillId="0" borderId="0" xfId="2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3" fontId="3" fillId="0" borderId="0" xfId="0" applyNumberFormat="1" applyFont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46269861641849297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Datos'!$G$9</c:f>
              <c:numCache>
                <c:formatCode>_-* #,##0\ "€"_-;\-* #,##0\ "€"_-;_-* "-"??\ "€"_-;_-@_-</c:formatCode>
                <c:ptCount val="1"/>
                <c:pt idx="0">
                  <c:v>36172.620000000003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1"/>
          <c:order val="1"/>
          <c:tx>
            <c:strRef>
              <c:f>'Análisis Datos'!$F$11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Datos'!$G$11</c:f>
              <c:numCache>
                <c:formatCode>_-* #,##0\ "€"_-;\-* #,##0\ "€"_-;_-* "-"??\ "€"_-;_-@_-</c:formatCode>
                <c:ptCount val="1"/>
                <c:pt idx="0">
                  <c:v>11813.261999999999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2"/>
          <c:tx>
            <c:strRef>
              <c:f>'Análisis Datos'!$F$13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Datos'!$G$13</c:f>
              <c:numCache>
                <c:formatCode>_-* #,##0\ "€"_-;\-* #,##0\ "€"_-;_-* "-"??\ "€"_-;_-@_-</c:formatCode>
                <c:ptCount val="1"/>
                <c:pt idx="0">
                  <c:v>18176.514999999999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3"/>
          <c:tx>
            <c:strRef>
              <c:f>'Análisis Datos'!$F$15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Datos'!$G$15</c:f>
              <c:numCache>
                <c:formatCode>_-* #,##0\ "€"_-;\-* #,##0\ "€"_-;_-* "-"??\ "€"_-;_-@_-</c:formatCode>
                <c:ptCount val="1"/>
                <c:pt idx="0">
                  <c:v>4336.453000000005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59229946524064159"/>
          <c:y val="4.86322188449848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73187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1"/>
          <c:order val="1"/>
          <c:tx>
            <c:strRef>
              <c:f>'Análisis Datos'!$F$11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36774.045842975203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2"/>
          <c:tx>
            <c:strRef>
              <c:f>'Análisis Datos'!$F$13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40285.544999999998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3"/>
          <c:tx>
            <c:strRef>
              <c:f>'Análisis Datos'!$F$15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Datos'!$H$15</c:f>
              <c:numCache>
                <c:formatCode>_-* #,##0\ "€"_-;\-* #,##0\ "€"_-;_-* "-"??\ "€"_-;_-@_-</c:formatCode>
                <c:ptCount val="1"/>
                <c:pt idx="0">
                  <c:v>-7693.3008429751972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11846.28</c:v>
                </c:pt>
                <c:pt idx="1">
                  <c:v>25168.100000000002</c:v>
                </c:pt>
                <c:pt idx="2">
                  <c:v>36172.620000000003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Resultados'!$P$21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Resultados'!$Q$21:$AB$21</c:f>
              <c:numCache>
                <c:formatCode>_-* #,##0\ _€_-;\-* #,##0\ _€_-;_-* "-"??\ _€_-;_-@_-</c:formatCode>
                <c:ptCount val="12"/>
                <c:pt idx="0">
                  <c:v>21660.494999999999</c:v>
                </c:pt>
                <c:pt idx="1">
                  <c:v>25409.318842975204</c:v>
                </c:pt>
                <c:pt idx="2">
                  <c:v>29989.776999999998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Resultados'!$P$29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Resultados'!$Q$29:$AB$29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-10832.874999999998</c:v>
                      </c:pt>
                      <c:pt idx="1">
                        <c:v>-1196.878842975204</c:v>
                      </c:pt>
                      <c:pt idx="2">
                        <c:v>4336.453000000005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Personal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Resultados'!$P$7</c:f>
              <c:strCache>
                <c:ptCount val="1"/>
                <c:pt idx="0">
                  <c:v>Altas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4752.2</c:v>
                </c:pt>
                <c:pt idx="1">
                  <c:v>5061.66</c:v>
                </c:pt>
                <c:pt idx="2">
                  <c:v>6298.4699999999993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Resultados'!$P$8</c:f>
              <c:strCache>
                <c:ptCount val="1"/>
                <c:pt idx="0">
                  <c:v>Comerciales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Resultados'!$Q$8:$AB$8</c:f>
              <c:numCache>
                <c:formatCode>#,##0</c:formatCode>
                <c:ptCount val="12"/>
                <c:pt idx="0">
                  <c:v>7999.8450000000003</c:v>
                </c:pt>
                <c:pt idx="1">
                  <c:v>7147.0788429752074</c:v>
                </c:pt>
                <c:pt idx="2">
                  <c:v>5514.7919999999995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Resultados'!$P$29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Resultados'!$Q$29:$AB$29</c:f>
              <c:numCache>
                <c:formatCode>#,##0</c:formatCode>
                <c:ptCount val="12"/>
                <c:pt idx="0">
                  <c:v>-10832.874999999998</c:v>
                </c:pt>
                <c:pt idx="1">
                  <c:v>-1196.878842975204</c:v>
                </c:pt>
                <c:pt idx="2">
                  <c:v>4336.453000000005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Comerciales mes</a:t>
            </a:r>
            <a:endParaRPr lang="en-US"/>
          </a:p>
        </c:rich>
      </c:tx>
      <c:layout>
        <c:manualLayout>
          <c:xMode val="edge"/>
          <c:yMode val="edge"/>
          <c:x val="0.28262153594437062"/>
          <c:y val="5.0890050956860855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848479827622936"/>
          <c:y val="0.12822302465867919"/>
          <c:w val="0.7048485630536151"/>
          <c:h val="0.81045292006977865"/>
        </c:manualLayout>
      </c:layout>
      <c:pieChart>
        <c:varyColors val="1"/>
        <c:ser>
          <c:idx val="0"/>
          <c:order val="0"/>
          <c:tx>
            <c:strRef>
              <c:f>Comerciales!$C$9</c:f>
              <c:strCache>
                <c:ptCount val="1"/>
                <c:pt idx="0">
                  <c:v>Marzo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F6D-471F-8584-A9CF131FA0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F6D-471F-8584-A9CF131FA0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F6D-471F-8584-A9CF131FA0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F6D-471F-8584-A9CF131FA02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Comerciales!$A$11:$A$14</c:f>
              <c:strCache>
                <c:ptCount val="4"/>
                <c:pt idx="0">
                  <c:v>Comercial 1</c:v>
                </c:pt>
                <c:pt idx="1">
                  <c:v>Comercial 2</c:v>
                </c:pt>
                <c:pt idx="2">
                  <c:v>Comercial 3</c:v>
                </c:pt>
                <c:pt idx="3">
                  <c:v>Comercial 4</c:v>
                </c:pt>
              </c:strCache>
            </c:strRef>
          </c:cat>
          <c:val>
            <c:numRef>
              <c:f>Comerciales!$C$11:$C$14</c:f>
              <c:numCache>
                <c:formatCode>General</c:formatCode>
                <c:ptCount val="4"/>
                <c:pt idx="0">
                  <c:v>1962.35</c:v>
                </c:pt>
                <c:pt idx="1">
                  <c:v>264.5</c:v>
                </c:pt>
                <c:pt idx="2">
                  <c:v>1575.692</c:v>
                </c:pt>
                <c:pt idx="3">
                  <c:v>1712.25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6D-471F-8584-A9CF131FA02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Comerciales </a:t>
            </a:r>
            <a:r>
              <a:rPr lang="en-US"/>
              <a:t>Acum</a:t>
            </a:r>
          </a:p>
        </c:rich>
      </c:tx>
      <c:layout>
        <c:manualLayout>
          <c:xMode val="edge"/>
          <c:yMode val="edge"/>
          <c:x val="0.29905084024483369"/>
          <c:y val="1.672474234678424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167483751076723"/>
          <c:y val="0.15052268112105816"/>
          <c:w val="0.73230014430251511"/>
          <c:h val="0.78257834949180483"/>
        </c:manualLayout>
      </c:layout>
      <c:pieChart>
        <c:varyColors val="1"/>
        <c:ser>
          <c:idx val="0"/>
          <c:order val="0"/>
          <c:tx>
            <c:strRef>
              <c:f>Comerciales!$D$9</c:f>
              <c:strCache>
                <c:ptCount val="1"/>
                <c:pt idx="0">
                  <c:v>Acumulado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7D-46F9-BFC5-3D5AF85195F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37D-46F9-BFC5-3D5AF85195F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37D-46F9-BFC5-3D5AF85195FB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37D-46F9-BFC5-3D5AF85195F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Comerciales!$A$11:$A$14</c:f>
              <c:strCache>
                <c:ptCount val="4"/>
                <c:pt idx="0">
                  <c:v>Comercial 1</c:v>
                </c:pt>
                <c:pt idx="1">
                  <c:v>Comercial 2</c:v>
                </c:pt>
                <c:pt idx="2">
                  <c:v>Comercial 3</c:v>
                </c:pt>
                <c:pt idx="3">
                  <c:v>Comercial 4</c:v>
                </c:pt>
              </c:strCache>
            </c:strRef>
          </c:cat>
          <c:val>
            <c:numRef>
              <c:f>Comerciales!$D$11:$D$14</c:f>
              <c:numCache>
                <c:formatCode>0.00</c:formatCode>
                <c:ptCount val="4"/>
                <c:pt idx="0">
                  <c:v>6253.5</c:v>
                </c:pt>
                <c:pt idx="1">
                  <c:v>2710.1665000000003</c:v>
                </c:pt>
                <c:pt idx="2">
                  <c:v>4181.0838429752066</c:v>
                </c:pt>
                <c:pt idx="3">
                  <c:v>7516.9655000000002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7D-46F9-BFC5-3D5AF85195F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años anteriores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32579.17</c:v>
                </c:pt>
                <c:pt idx="1">
                  <c:v>29189.389999999996</c:v>
                </c:pt>
                <c:pt idx="2">
                  <c:v>47690.289999999994</c:v>
                </c:pt>
                <c:pt idx="3">
                  <c:v>47464.07</c:v>
                </c:pt>
                <c:pt idx="4">
                  <c:v>32929.94</c:v>
                </c:pt>
                <c:pt idx="5">
                  <c:v>24244.12</c:v>
                </c:pt>
                <c:pt idx="6">
                  <c:v>42547.55</c:v>
                </c:pt>
                <c:pt idx="7">
                  <c:v>12974.86</c:v>
                </c:pt>
                <c:pt idx="8">
                  <c:v>22140.6</c:v>
                </c:pt>
                <c:pt idx="9">
                  <c:v>18703.25</c:v>
                </c:pt>
                <c:pt idx="10">
                  <c:v>27978.100000000002</c:v>
                </c:pt>
                <c:pt idx="11">
                  <c:v>37262.620000000003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11846.28</c:v>
                </c:pt>
                <c:pt idx="1">
                  <c:v>25168.100000000002</c:v>
                </c:pt>
                <c:pt idx="2">
                  <c:v>36172.620000000003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50000</c:v>
                </c:pt>
                <c:pt idx="1">
                  <c:v>50000</c:v>
                </c:pt>
                <c:pt idx="2">
                  <c:v>50000</c:v>
                </c:pt>
                <c:pt idx="3">
                  <c:v>50000</c:v>
                </c:pt>
                <c:pt idx="4">
                  <c:v>50000</c:v>
                </c:pt>
                <c:pt idx="5">
                  <c:v>50000</c:v>
                </c:pt>
                <c:pt idx="6">
                  <c:v>50000</c:v>
                </c:pt>
                <c:pt idx="7">
                  <c:v>50000</c:v>
                </c:pt>
                <c:pt idx="8">
                  <c:v>50000</c:v>
                </c:pt>
                <c:pt idx="9">
                  <c:v>50000</c:v>
                </c:pt>
                <c:pt idx="10">
                  <c:v>50000</c:v>
                </c:pt>
                <c:pt idx="11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años anteriores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Resultados'!$B$21:$M$21</c:f>
              <c:numCache>
                <c:formatCode>_-* #,##0\ _€_-;\-* #,##0\ _€_-;_-* "-"??\ _€_-;_-@_-</c:formatCode>
                <c:ptCount val="12"/>
                <c:pt idx="0">
                  <c:v>32544.910000000003</c:v>
                </c:pt>
                <c:pt idx="1">
                  <c:v>29115.527000000002</c:v>
                </c:pt>
                <c:pt idx="2">
                  <c:v>34820.589999999997</c:v>
                </c:pt>
                <c:pt idx="3">
                  <c:v>31932.876</c:v>
                </c:pt>
                <c:pt idx="4">
                  <c:v>34237.542999999998</c:v>
                </c:pt>
                <c:pt idx="5">
                  <c:v>35562.440999999999</c:v>
                </c:pt>
                <c:pt idx="6">
                  <c:v>27581.472999999998</c:v>
                </c:pt>
                <c:pt idx="7">
                  <c:v>25528.794999999998</c:v>
                </c:pt>
                <c:pt idx="8">
                  <c:v>25375.573</c:v>
                </c:pt>
                <c:pt idx="9">
                  <c:v>29684.494999999995</c:v>
                </c:pt>
                <c:pt idx="10">
                  <c:v>33844.818842975204</c:v>
                </c:pt>
                <c:pt idx="11">
                  <c:v>41152.387000000002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Resultados'!$Q$21:$AB$21</c:f>
              <c:numCache>
                <c:formatCode>_-* #,##0\ _€_-;\-* #,##0\ _€_-;_-* "-"??\ _€_-;_-@_-</c:formatCode>
                <c:ptCount val="12"/>
                <c:pt idx="0">
                  <c:v>21660.494999999999</c:v>
                </c:pt>
                <c:pt idx="1">
                  <c:v>25409.318842975204</c:v>
                </c:pt>
                <c:pt idx="2">
                  <c:v>29989.776999999998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Resultados'!$AF$21:$AQ$21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31751</xdr:colOff>
      <xdr:row>3</xdr:row>
      <xdr:rowOff>12700</xdr:rowOff>
    </xdr:from>
    <xdr:to>
      <xdr:col>4</xdr:col>
      <xdr:colOff>501650</xdr:colOff>
      <xdr:row>14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F3348CD-A8AA-4DE2-9D68-39E1D2183A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3</xdr:row>
      <xdr:rowOff>68035</xdr:rowOff>
    </xdr:from>
    <xdr:to>
      <xdr:col>22</xdr:col>
      <xdr:colOff>440871</xdr:colOff>
      <xdr:row>15</xdr:row>
      <xdr:rowOff>28801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C19B7D-AE39-4348-B5B6-988FED6A55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15</xdr:row>
      <xdr:rowOff>158750</xdr:rowOff>
    </xdr:from>
    <xdr:to>
      <xdr:col>5</xdr:col>
      <xdr:colOff>992187</xdr:colOff>
      <xdr:row>28</xdr:row>
      <xdr:rowOff>82550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10B479-C61F-4DC6-877F-6C9B77E3D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15</xdr:row>
      <xdr:rowOff>177800</xdr:rowOff>
    </xdr:from>
    <xdr:to>
      <xdr:col>22</xdr:col>
      <xdr:colOff>444500</xdr:colOff>
      <xdr:row>28</xdr:row>
      <xdr:rowOff>63500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C456BC3-B3C3-43ED-A112-0CAB765589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15</xdr:row>
      <xdr:rowOff>171223</xdr:rowOff>
    </xdr:from>
    <xdr:to>
      <xdr:col>15</xdr:col>
      <xdr:colOff>55564</xdr:colOff>
      <xdr:row>28</xdr:row>
      <xdr:rowOff>91848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42186FB-C5F5-448D-9B63-9FF76A5F7C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254000</xdr:colOff>
      <xdr:row>29</xdr:row>
      <xdr:rowOff>31751</xdr:rowOff>
    </xdr:from>
    <xdr:to>
      <xdr:col>19</xdr:col>
      <xdr:colOff>333376</xdr:colOff>
      <xdr:row>41</xdr:row>
      <xdr:rowOff>119063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EAEB6423-04FE-4A36-A9A8-DB864D3D5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428624</xdr:colOff>
      <xdr:row>29</xdr:row>
      <xdr:rowOff>15874</xdr:rowOff>
    </xdr:from>
    <xdr:to>
      <xdr:col>22</xdr:col>
      <xdr:colOff>469308</xdr:colOff>
      <xdr:row>41</xdr:row>
      <xdr:rowOff>126999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B742D66B-D50A-4286-9551-065120160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63500</xdr:colOff>
      <xdr:row>4</xdr:row>
      <xdr:rowOff>111126</xdr:rowOff>
    </xdr:from>
    <xdr:to>
      <xdr:col>7</xdr:col>
      <xdr:colOff>674688</xdr:colOff>
      <xdr:row>6</xdr:row>
      <xdr:rowOff>79376</xdr:rowOff>
    </xdr:to>
    <xdr:sp macro="" textlink="$G$9">
      <xdr:nvSpPr>
        <xdr:cNvPr id="7" name="Rectángulo: esquinas redondeadas 6">
          <a:extLst>
            <a:ext uri="{FF2B5EF4-FFF2-40B4-BE49-F238E27FC236}">
              <a16:creationId xmlns:a16="http://schemas.microsoft.com/office/drawing/2014/main" id="{906D3C96-8960-4E49-A9AF-CD0427150C4D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36.173 €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4</xdr:row>
      <xdr:rowOff>127000</xdr:rowOff>
    </xdr:from>
    <xdr:to>
      <xdr:col>18</xdr:col>
      <xdr:colOff>7937</xdr:colOff>
      <xdr:row>6</xdr:row>
      <xdr:rowOff>95250</xdr:rowOff>
    </xdr:to>
    <xdr:sp macro="" textlink="$H$9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71F19558-8A37-4FF1-AC9D-BFB8643111DE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73.187 €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29</xdr:row>
      <xdr:rowOff>1</xdr:rowOff>
    </xdr:from>
    <xdr:to>
      <xdr:col>5</xdr:col>
      <xdr:colOff>931863</xdr:colOff>
      <xdr:row>41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F7557CE-6E24-4EBA-ADFD-DF0AA8FB7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158750</xdr:colOff>
      <xdr:row>29</xdr:row>
      <xdr:rowOff>15875</xdr:rowOff>
    </xdr:from>
    <xdr:to>
      <xdr:col>15</xdr:col>
      <xdr:colOff>58738</xdr:colOff>
      <xdr:row>41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DBC36B97-555C-4E9F-97FD-1F377C542D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550.634732986109" createdVersion="6" refreshedVersion="6" minRefreshableVersion="3" recordCount="639" xr:uid="{EA64FE2B-01D1-4B5E-A82D-A2915B143660}">
  <cacheSource type="worksheet">
    <worksheetSource ref="A1:H640" sheet="Facturas"/>
  </cacheSource>
  <cacheFields count="8">
    <cacheField name="Serie factura" numFmtId="0">
      <sharedItems containsBlank="1" count="3">
        <s v="M"/>
        <s v="A"/>
        <m/>
      </sharedItems>
    </cacheField>
    <cacheField name="Fecha factura" numFmtId="0">
      <sharedItems containsBlank="1" count="13">
        <s v="Octubre"/>
        <s v="Noviembre"/>
        <s v="Diciembre"/>
        <m/>
        <s v="Septiembre" u="1"/>
        <s v="Agosto" u="1"/>
        <s v="Marzo" u="1"/>
        <s v="Mayo" u="1"/>
        <s v="Julio" u="1"/>
        <s v="Abril" u="1"/>
        <s v="Febrero" u="1"/>
        <s v="Enero" u="1"/>
        <s v="Junio" u="1"/>
      </sharedItems>
    </cacheField>
    <cacheField name="Nombre receptor" numFmtId="0">
      <sharedItems containsBlank="1"/>
    </cacheField>
    <cacheField name="Total base imponible" numFmtId="0">
      <sharedItems containsString="0" containsBlank="1" containsNumber="1" minValue="-800" maxValue="9099.4599999999991"/>
    </cacheField>
    <cacheField name="Total suplidos" numFmtId="0">
      <sharedItems containsString="0" containsBlank="1" containsNumber="1" minValue="-20" maxValue="157.36000000000001"/>
    </cacheField>
    <cacheField name="Total IVA" numFmtId="0">
      <sharedItems containsString="0" containsBlank="1" containsNumber="1" minValue="-168" maxValue="1910.89"/>
    </cacheField>
    <cacheField name="Total" numFmtId="0">
      <sharedItems containsString="0" containsBlank="1" containsNumber="1" minValue="-988" maxValue="11010.35"/>
    </cacheField>
    <cacheField name="Total pendiente" numFmtId="0">
      <sharedItems containsString="0" containsBlank="1" containsNumber="1" minValue="-988" maxValue="6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9">
  <r>
    <x v="0"/>
    <x v="0"/>
    <s v="Resomaex,S.L"/>
    <n v="100"/>
    <n v="0"/>
    <n v="21"/>
    <n v="121"/>
    <n v="0"/>
  </r>
  <r>
    <x v="0"/>
    <x v="0"/>
    <s v="Grupo Horauto Extremadura, SL"/>
    <n v="150"/>
    <n v="0"/>
    <n v="31.5"/>
    <n v="181.5"/>
    <n v="0"/>
  </r>
  <r>
    <x v="0"/>
    <x v="0"/>
    <s v="Distribuidora de Higiene de Extremadura, SL"/>
    <n v="100"/>
    <n v="0"/>
    <n v="21"/>
    <n v="121"/>
    <n v="0"/>
  </r>
  <r>
    <x v="0"/>
    <x v="0"/>
    <s v="Viajes Jose Antonio, S.L"/>
    <n v="80"/>
    <n v="0"/>
    <n v="16.8"/>
    <n v="96.8"/>
    <n v="0"/>
  </r>
  <r>
    <x v="0"/>
    <x v="0"/>
    <s v="Productos Cárnicos El Chichero, SL"/>
    <n v="150"/>
    <n v="0"/>
    <n v="31.5"/>
    <n v="181.5"/>
    <n v="0"/>
  </r>
  <r>
    <x v="0"/>
    <x v="0"/>
    <s v="Aridos y Hormigones Rojo, S.L"/>
    <n v="100"/>
    <n v="0"/>
    <n v="21"/>
    <n v="121"/>
    <n v="0"/>
  </r>
  <r>
    <x v="0"/>
    <x v="0"/>
    <s v="Exaclean S.L"/>
    <n v="150"/>
    <n v="0"/>
    <n v="31.5"/>
    <n v="181.5"/>
    <n v="0"/>
  </r>
  <r>
    <x v="0"/>
    <x v="0"/>
    <s v="Cruz Martín Miguel - Ébano y Kaoba"/>
    <n v="150"/>
    <n v="87.89"/>
    <n v="31.5"/>
    <n v="269.39"/>
    <n v="0"/>
  </r>
  <r>
    <x v="0"/>
    <x v="0"/>
    <s v="Inversionistas, S.L"/>
    <n v="150"/>
    <n v="0"/>
    <n v="31.5"/>
    <n v="181.5"/>
    <n v="0"/>
  </r>
  <r>
    <x v="0"/>
    <x v="0"/>
    <s v="Extremeña de Construcciones y Reformas 2012, S.L"/>
    <n v="150"/>
    <n v="0"/>
    <n v="31.5"/>
    <n v="181.5"/>
    <n v="0"/>
  </r>
  <r>
    <x v="0"/>
    <x v="0"/>
    <s v="Tortonda Gordillo Pedro Ángel"/>
    <n v="80"/>
    <n v="0"/>
    <n v="16.8"/>
    <n v="96.8"/>
    <n v="0"/>
  </r>
  <r>
    <x v="1"/>
    <x v="0"/>
    <s v="Romero González Daniel"/>
    <n v="150"/>
    <n v="0"/>
    <n v="31.5"/>
    <n v="181.5"/>
    <n v="0"/>
  </r>
  <r>
    <x v="0"/>
    <x v="0"/>
    <s v="Ramal Amaya Israel"/>
    <n v="80"/>
    <n v="0"/>
    <n v="16.8"/>
    <n v="96.8"/>
    <n v="0"/>
  </r>
  <r>
    <x v="0"/>
    <x v="0"/>
    <s v="Mecaber Sureste, S.L"/>
    <n v="200"/>
    <n v="0"/>
    <n v="42"/>
    <n v="242"/>
    <n v="0"/>
  </r>
  <r>
    <x v="0"/>
    <x v="0"/>
    <s v="Strata Pavimentos,S.L.U"/>
    <n v="150"/>
    <n v="0"/>
    <n v="31.5"/>
    <n v="181.5"/>
    <n v="0"/>
  </r>
  <r>
    <x v="0"/>
    <x v="0"/>
    <s v="Instalaciones y Electrodomésticos Antonio Díaz,S.L"/>
    <n v="100"/>
    <n v="0"/>
    <n v="21"/>
    <n v="121"/>
    <n v="0"/>
  </r>
  <r>
    <x v="0"/>
    <x v="0"/>
    <s v="Inalba Fundada 2008, S.L"/>
    <n v="50"/>
    <n v="0"/>
    <n v="10.5"/>
    <n v="60.5"/>
    <n v="0"/>
  </r>
  <r>
    <x v="0"/>
    <x v="0"/>
    <s v="Avanza Texture,S.L"/>
    <n v="60"/>
    <n v="0"/>
    <n v="12.6"/>
    <n v="72.599999999999994"/>
    <n v="0"/>
  </r>
  <r>
    <x v="0"/>
    <x v="0"/>
    <s v="Transportes Lobato Valadés, S.L"/>
    <n v="100"/>
    <n v="0"/>
    <n v="21"/>
    <n v="121"/>
    <n v="0"/>
  </r>
  <r>
    <x v="0"/>
    <x v="0"/>
    <s v="Gimeno Valero Jose Mª"/>
    <n v="35"/>
    <n v="0"/>
    <n v="7.35"/>
    <n v="42.35"/>
    <n v="0"/>
  </r>
  <r>
    <x v="0"/>
    <x v="0"/>
    <s v="Centro Almagro de Formación Integral S.L"/>
    <n v="80"/>
    <n v="0"/>
    <n v="16.8"/>
    <n v="96.8"/>
    <n v="0"/>
  </r>
  <r>
    <x v="0"/>
    <x v="0"/>
    <s v="León Carrascal Víctor Manuel"/>
    <n v="50"/>
    <n v="0"/>
    <n v="10.5"/>
    <n v="60.5"/>
    <n v="0"/>
  </r>
  <r>
    <x v="0"/>
    <x v="0"/>
    <s v="BM Tevisa, S.A.U"/>
    <n v="150"/>
    <n v="0"/>
    <n v="31.5"/>
    <n v="181.5"/>
    <n v="0"/>
  </r>
  <r>
    <x v="0"/>
    <x v="0"/>
    <s v="HOSTELCHOLLO,S.L."/>
    <n v="150"/>
    <n v="0"/>
    <n v="31.5"/>
    <n v="181.5"/>
    <n v="0"/>
  </r>
  <r>
    <x v="0"/>
    <x v="0"/>
    <s v="Constroca Materiales de Construcción,S.L"/>
    <n v="150"/>
    <n v="0"/>
    <n v="31.5"/>
    <n v="181.5"/>
    <n v="0"/>
  </r>
  <r>
    <x v="0"/>
    <x v="0"/>
    <s v="Aunión Vázquez SLU"/>
    <n v="100"/>
    <n v="0"/>
    <n v="21"/>
    <n v="121"/>
    <n v="0"/>
  </r>
  <r>
    <x v="0"/>
    <x v="0"/>
    <s v="Mármoles Lobón,S.L"/>
    <n v="150"/>
    <n v="19.12"/>
    <n v="31.5"/>
    <n v="200.62"/>
    <n v="0"/>
  </r>
  <r>
    <x v="0"/>
    <x v="0"/>
    <s v="Automóviles Sánchez Vargas,S.L"/>
    <n v="95"/>
    <n v="0"/>
    <n v="19.95"/>
    <n v="114.95"/>
    <n v="0"/>
  </r>
  <r>
    <x v="0"/>
    <x v="0"/>
    <s v="Recogida Extremeña de N.F.U. S.L"/>
    <n v="100"/>
    <n v="0"/>
    <n v="21"/>
    <n v="121"/>
    <n v="0"/>
  </r>
  <r>
    <x v="0"/>
    <x v="0"/>
    <s v="Vaquero Chacón Carlos"/>
    <n v="150"/>
    <n v="0"/>
    <n v="31.5"/>
    <n v="181.5"/>
    <n v="0"/>
  </r>
  <r>
    <x v="0"/>
    <x v="0"/>
    <s v="Comercial Extremeña de  Extintores, SL"/>
    <n v="150"/>
    <n v="0"/>
    <n v="31.5"/>
    <n v="181.5"/>
    <n v="0"/>
  </r>
  <r>
    <x v="0"/>
    <x v="0"/>
    <s v="Grupo Segurymat,SL"/>
    <n v="100"/>
    <n v="0"/>
    <n v="21"/>
    <n v="121"/>
    <n v="0"/>
  </r>
  <r>
    <x v="0"/>
    <x v="0"/>
    <s v="García Núñez Ismael"/>
    <n v="100"/>
    <n v="0"/>
    <n v="21"/>
    <n v="121"/>
    <n v="0"/>
  </r>
  <r>
    <x v="0"/>
    <x v="0"/>
    <s v="Constructora Promotora Hnos Viceira, S.L"/>
    <n v="200"/>
    <n v="0"/>
    <n v="42"/>
    <n v="242"/>
    <n v="0"/>
  </r>
  <r>
    <x v="0"/>
    <x v="0"/>
    <s v="Viveros Juanjo de las Vegas  Bajas del Guadiana,S.L"/>
    <n v="200"/>
    <n v="0"/>
    <n v="42"/>
    <n v="242"/>
    <n v="0"/>
  </r>
  <r>
    <x v="0"/>
    <x v="0"/>
    <s v="El Búho 24 Horas,S.L"/>
    <n v="100"/>
    <n v="0"/>
    <n v="21"/>
    <n v="121"/>
    <n v="0"/>
  </r>
  <r>
    <x v="0"/>
    <x v="0"/>
    <s v="Nava Redonda SCL"/>
    <n v="80"/>
    <n v="0"/>
    <n v="16.8"/>
    <n v="96.8"/>
    <n v="0"/>
  </r>
  <r>
    <x v="1"/>
    <x v="0"/>
    <s v="Distribuidora Internacional de Alimentación, S.A"/>
    <n v="880.65"/>
    <n v="0"/>
    <n v="184.94"/>
    <n v="1065.5899999999999"/>
    <n v="0"/>
  </r>
  <r>
    <x v="0"/>
    <x v="0"/>
    <s v="Casle, CB"/>
    <n v="150"/>
    <n v="4.2699999999999996"/>
    <n v="31.5"/>
    <n v="185.77"/>
    <n v="0"/>
  </r>
  <r>
    <x v="0"/>
    <x v="0"/>
    <s v="García de Vinuesa Bonnail Sonsoles"/>
    <n v="100"/>
    <n v="0"/>
    <n v="21"/>
    <n v="121"/>
    <n v="0"/>
  </r>
  <r>
    <x v="1"/>
    <x v="0"/>
    <s v="Twins Alimentación, SA"/>
    <n v="169.35"/>
    <n v="0"/>
    <n v="35.56"/>
    <n v="204.91"/>
    <n v="0"/>
  </r>
  <r>
    <x v="0"/>
    <x v="0"/>
    <s v="González Mora Francisco Javier"/>
    <n v="150"/>
    <n v="0"/>
    <n v="31.5"/>
    <n v="181.5"/>
    <n v="181.5"/>
  </r>
  <r>
    <x v="0"/>
    <x v="0"/>
    <s v="Voztechnology Company Services,S.L"/>
    <n v="50"/>
    <n v="0"/>
    <n v="10.5"/>
    <n v="60.5"/>
    <n v="0"/>
  </r>
  <r>
    <x v="1"/>
    <x v="0"/>
    <s v="Área de Servicio Almendralejo, S.L"/>
    <n v="100"/>
    <n v="0"/>
    <n v="21"/>
    <n v="121"/>
    <n v="0"/>
  </r>
  <r>
    <x v="0"/>
    <x v="0"/>
    <s v="Nova Ramos Emilio Fermín"/>
    <n v="80"/>
    <n v="0"/>
    <n v="16.8"/>
    <n v="96.8"/>
    <n v="0"/>
  </r>
  <r>
    <x v="0"/>
    <x v="0"/>
    <s v="Muñoz Preciado Odontólogos, S.L"/>
    <n v="300"/>
    <n v="0"/>
    <n v="63"/>
    <n v="363"/>
    <n v="0"/>
  </r>
  <r>
    <x v="0"/>
    <x v="0"/>
    <s v="Vázquez Díaz Teresa"/>
    <n v="300"/>
    <n v="0"/>
    <n v="63"/>
    <n v="363"/>
    <n v="0"/>
  </r>
  <r>
    <x v="0"/>
    <x v="0"/>
    <s v="Inversiones y Desarrollo Flashback,S.L"/>
    <n v="400"/>
    <n v="10"/>
    <n v="84"/>
    <n v="494"/>
    <n v="0"/>
  </r>
  <r>
    <x v="0"/>
    <x v="0"/>
    <s v="García Gordillo Miriam"/>
    <n v="200"/>
    <n v="0"/>
    <n v="42"/>
    <n v="242"/>
    <n v="0"/>
  </r>
  <r>
    <x v="0"/>
    <x v="0"/>
    <s v="Casle, CB"/>
    <n v="833.33"/>
    <n v="0"/>
    <n v="175"/>
    <n v="1008.33"/>
    <n v="0"/>
  </r>
  <r>
    <x v="0"/>
    <x v="0"/>
    <s v="Da Silva Álvarez Lourdes"/>
    <n v="500"/>
    <n v="0"/>
    <n v="105"/>
    <n v="605"/>
    <n v="0"/>
  </r>
  <r>
    <x v="0"/>
    <x v="0"/>
    <s v="Castro Moreno Nazaret"/>
    <n v="400"/>
    <n v="0"/>
    <n v="84"/>
    <n v="484"/>
    <n v="0"/>
  </r>
  <r>
    <x v="0"/>
    <x v="0"/>
    <s v="De Orduña Salazar Javier Enrique"/>
    <n v="500"/>
    <n v="0"/>
    <n v="105"/>
    <n v="605"/>
    <n v="0"/>
  </r>
  <r>
    <x v="0"/>
    <x v="0"/>
    <s v="New Stone Extremadura,S.L"/>
    <n v="106.29"/>
    <n v="0"/>
    <n v="22.32"/>
    <n v="128.61000000000001"/>
    <n v="0"/>
  </r>
  <r>
    <x v="0"/>
    <x v="0"/>
    <s v="Galán Morcillo Nicolás"/>
    <n v="300"/>
    <n v="0"/>
    <n v="63"/>
    <n v="363"/>
    <n v="0"/>
  </r>
  <r>
    <x v="0"/>
    <x v="0"/>
    <s v="Sáez Hidalgo Jose Antonio"/>
    <n v="120"/>
    <n v="0"/>
    <n v="25.2"/>
    <n v="145.19999999999999"/>
    <n v="0"/>
  </r>
  <r>
    <x v="0"/>
    <x v="0"/>
    <s v="Correa Gabardino Jose Francisco"/>
    <n v="416.66"/>
    <n v="0"/>
    <n v="87.5"/>
    <n v="504.16"/>
    <n v="0"/>
  </r>
  <r>
    <x v="0"/>
    <x v="0"/>
    <s v="González Serrano Pedro"/>
    <n v="1400"/>
    <n v="0"/>
    <n v="294"/>
    <n v="1694"/>
    <n v="0"/>
  </r>
  <r>
    <x v="0"/>
    <x v="1"/>
    <s v="Ramal Amaya Israel"/>
    <n v="80"/>
    <n v="0"/>
    <n v="16.8"/>
    <n v="96.8"/>
    <n v="0"/>
  </r>
  <r>
    <x v="0"/>
    <x v="1"/>
    <s v="García Núñez Ismael"/>
    <n v="100"/>
    <n v="0"/>
    <n v="21"/>
    <n v="121"/>
    <n v="0"/>
  </r>
  <r>
    <x v="0"/>
    <x v="1"/>
    <s v="Emericuiness,S.L"/>
    <n v="1000"/>
    <n v="0"/>
    <n v="210"/>
    <n v="1210"/>
    <n v="0"/>
  </r>
  <r>
    <x v="1"/>
    <x v="1"/>
    <s v="Twins Alimentación, SA"/>
    <n v="169.35"/>
    <n v="0"/>
    <n v="35.56"/>
    <n v="204.91"/>
    <n v="0"/>
  </r>
  <r>
    <x v="0"/>
    <x v="1"/>
    <s v="Aunión Vázquez SLU"/>
    <n v="100"/>
    <n v="0"/>
    <n v="21"/>
    <n v="121"/>
    <n v="0"/>
  </r>
  <r>
    <x v="0"/>
    <x v="1"/>
    <s v="Menéndez Menéndez Andrea"/>
    <n v="470.12"/>
    <n v="0"/>
    <n v="98.73"/>
    <n v="568.85"/>
    <n v="0"/>
  </r>
  <r>
    <x v="0"/>
    <x v="1"/>
    <s v="Transportes Lobato Valadés, S.L"/>
    <n v="100"/>
    <n v="0"/>
    <n v="21"/>
    <n v="121"/>
    <n v="0"/>
  </r>
  <r>
    <x v="0"/>
    <x v="1"/>
    <s v="Instalaciones y Electrodomésticos Antonio Díaz,S.L"/>
    <n v="100"/>
    <n v="0"/>
    <n v="21"/>
    <n v="121"/>
    <n v="0"/>
  </r>
  <r>
    <x v="0"/>
    <x v="1"/>
    <s v="Emericuiness,S.L"/>
    <n v="150"/>
    <n v="0"/>
    <n v="31.5"/>
    <n v="181.5"/>
    <n v="0"/>
  </r>
  <r>
    <x v="0"/>
    <x v="1"/>
    <s v="Recogida Extremeña de N.F.U. S.L"/>
    <n v="100"/>
    <n v="0"/>
    <n v="21"/>
    <n v="121"/>
    <n v="0"/>
  </r>
  <r>
    <x v="0"/>
    <x v="1"/>
    <s v="Extremeña de Construcciones y Reformas 2012, S.L"/>
    <n v="150"/>
    <n v="0"/>
    <n v="31.5"/>
    <n v="181.5"/>
    <n v="0"/>
  </r>
  <r>
    <x v="0"/>
    <x v="1"/>
    <s v="Tortonda Gordillo Pedro Ángel"/>
    <n v="80"/>
    <n v="0"/>
    <n v="16.8"/>
    <n v="96.8"/>
    <n v="0"/>
  </r>
  <r>
    <x v="0"/>
    <x v="1"/>
    <s v="Talleres Ramal Guillen"/>
    <n v="550"/>
    <n v="0"/>
    <n v="115.5"/>
    <n v="665.5"/>
    <n v="0"/>
  </r>
  <r>
    <x v="0"/>
    <x v="1"/>
    <s v="Inversionistas, S.L"/>
    <n v="150"/>
    <n v="0"/>
    <n v="31.5"/>
    <n v="181.5"/>
    <n v="0"/>
  </r>
  <r>
    <x v="0"/>
    <x v="1"/>
    <s v="Viveros Juanjo de las Vegas  Bajas del Guadiana,S.L"/>
    <n v="200"/>
    <n v="0"/>
    <n v="42"/>
    <n v="242"/>
    <n v="0"/>
  </r>
  <r>
    <x v="0"/>
    <x v="1"/>
    <s v="Constroca Materiales de Construcción,S.L"/>
    <n v="150"/>
    <n v="0"/>
    <n v="31.5"/>
    <n v="181.5"/>
    <n v="0"/>
  </r>
  <r>
    <x v="0"/>
    <x v="1"/>
    <s v="Nova Ramos Emilio Fermín"/>
    <n v="80"/>
    <n v="0"/>
    <n v="16.8"/>
    <n v="96.8"/>
    <n v="0"/>
  </r>
  <r>
    <x v="1"/>
    <x v="1"/>
    <s v="Área de Servicio Almendralejo, S.L"/>
    <n v="100"/>
    <n v="0"/>
    <n v="21"/>
    <n v="121"/>
    <n v="0"/>
  </r>
  <r>
    <x v="0"/>
    <x v="1"/>
    <s v="BM Tevisa, S.A.U"/>
    <n v="150"/>
    <n v="0"/>
    <n v="31.5"/>
    <n v="181.5"/>
    <n v="0"/>
  </r>
  <r>
    <x v="1"/>
    <x v="1"/>
    <s v="Obreo Diez Eladio"/>
    <n v="300"/>
    <n v="0"/>
    <n v="63"/>
    <n v="363"/>
    <n v="0"/>
  </r>
  <r>
    <x v="0"/>
    <x v="1"/>
    <s v="Muñoz Preciado Odontólogos, S.L"/>
    <n v="300"/>
    <n v="0"/>
    <n v="63"/>
    <n v="363"/>
    <n v="0"/>
  </r>
  <r>
    <x v="0"/>
    <x v="1"/>
    <s v="Comercial Extremeña de  Extintores, SL"/>
    <n v="150"/>
    <n v="0"/>
    <n v="31.5"/>
    <n v="181.5"/>
    <n v="0"/>
  </r>
  <r>
    <x v="0"/>
    <x v="1"/>
    <s v="Automóviles Sánchez Vargas,S.L"/>
    <n v="95"/>
    <n v="0"/>
    <n v="19.95"/>
    <n v="114.95"/>
    <n v="0"/>
  </r>
  <r>
    <x v="1"/>
    <x v="1"/>
    <s v="Romero González Daniel"/>
    <n v="150"/>
    <n v="0"/>
    <n v="31.5"/>
    <n v="181.5"/>
    <n v="0"/>
  </r>
  <r>
    <x v="0"/>
    <x v="1"/>
    <s v="Constroca Materiales de Construcción,S.L"/>
    <n v="300"/>
    <n v="0"/>
    <n v="63"/>
    <n v="363"/>
    <n v="0"/>
  </r>
  <r>
    <x v="0"/>
    <x v="1"/>
    <s v="León Carrascal Víctor Manuel"/>
    <n v="50"/>
    <n v="0"/>
    <n v="10.5"/>
    <n v="60.5"/>
    <n v="0"/>
  </r>
  <r>
    <x v="0"/>
    <x v="1"/>
    <s v="Trejo Burgos Joaquín"/>
    <n v="150"/>
    <n v="0"/>
    <n v="31.5"/>
    <n v="181.5"/>
    <n v="0"/>
  </r>
  <r>
    <x v="0"/>
    <x v="1"/>
    <s v="Gimeno Valero Jose Mª"/>
    <n v="35"/>
    <n v="0"/>
    <n v="7.35"/>
    <n v="42.35"/>
    <n v="0"/>
  </r>
  <r>
    <x v="0"/>
    <x v="1"/>
    <s v="Mármoles Lobón,S.L"/>
    <n v="150"/>
    <n v="0"/>
    <n v="31.5"/>
    <n v="181.5"/>
    <n v="0"/>
  </r>
  <r>
    <x v="0"/>
    <x v="1"/>
    <s v="El Búho 24 Horas,S.L"/>
    <n v="100"/>
    <n v="0"/>
    <n v="21"/>
    <n v="121"/>
    <n v="0"/>
  </r>
  <r>
    <x v="0"/>
    <x v="1"/>
    <s v="García de Vinuesa Bonnail Sonsoles"/>
    <n v="100"/>
    <n v="0"/>
    <n v="21"/>
    <n v="121"/>
    <n v="0"/>
  </r>
  <r>
    <x v="0"/>
    <x v="1"/>
    <s v="Nava Redonda SCL"/>
    <n v="80"/>
    <n v="0"/>
    <n v="16.8"/>
    <n v="96.8"/>
    <n v="0"/>
  </r>
  <r>
    <x v="0"/>
    <x v="1"/>
    <s v="Mecaber Sureste, S.L"/>
    <n v="200"/>
    <n v="0"/>
    <n v="42"/>
    <n v="242"/>
    <n v="0"/>
  </r>
  <r>
    <x v="0"/>
    <x v="1"/>
    <s v="Cruz Martín Miguel - Ébano y Kaoba"/>
    <n v="3206.08"/>
    <n v="0"/>
    <n v="673.28"/>
    <n v="3879.36"/>
    <n v="0"/>
  </r>
  <r>
    <x v="0"/>
    <x v="1"/>
    <s v="Distribuidora de Higiene de Extremadura, SL"/>
    <n v="100"/>
    <n v="0"/>
    <n v="21"/>
    <n v="121"/>
    <n v="0"/>
  </r>
  <r>
    <x v="0"/>
    <x v="1"/>
    <s v="HOSTELCHOLLO,S.L."/>
    <n v="150"/>
    <n v="0"/>
    <n v="31.5"/>
    <n v="181.5"/>
    <n v="0"/>
  </r>
  <r>
    <x v="0"/>
    <x v="1"/>
    <s v="Voztechnology Company Services,S.L"/>
    <n v="50"/>
    <n v="0"/>
    <n v="10.5"/>
    <n v="60.5"/>
    <n v="0"/>
  </r>
  <r>
    <x v="0"/>
    <x v="1"/>
    <s v="Inversiones y Desarrollo Flashback,S.L"/>
    <n v="400"/>
    <n v="10"/>
    <n v="84"/>
    <n v="494"/>
    <n v="0"/>
  </r>
  <r>
    <x v="0"/>
    <x v="1"/>
    <s v="Inalba Fundada 2008, S.L"/>
    <n v="50"/>
    <n v="0"/>
    <n v="10.5"/>
    <n v="60.5"/>
    <n v="0"/>
  </r>
  <r>
    <x v="0"/>
    <x v="1"/>
    <s v="Aridos y Hormigones Rojo, S.L"/>
    <n v="100"/>
    <n v="0"/>
    <n v="21"/>
    <n v="121"/>
    <n v="0"/>
  </r>
  <r>
    <x v="0"/>
    <x v="1"/>
    <s v="Avanza Texture,S.L"/>
    <n v="60"/>
    <n v="0"/>
    <n v="12.6"/>
    <n v="72.599999999999994"/>
    <n v="0"/>
  </r>
  <r>
    <x v="1"/>
    <x v="1"/>
    <s v="Distribuidora Internacional de Alimentación, S.A"/>
    <n v="880.65"/>
    <n v="0"/>
    <n v="184.94"/>
    <n v="1065.5899999999999"/>
    <n v="0"/>
  </r>
  <r>
    <x v="0"/>
    <x v="1"/>
    <s v="Casle, CB"/>
    <n v="833.33"/>
    <n v="0"/>
    <n v="175"/>
    <n v="1008.33"/>
    <n v="0"/>
  </r>
  <r>
    <x v="0"/>
    <x v="1"/>
    <s v="Casle, CB"/>
    <n v="150"/>
    <n v="0"/>
    <n v="31.5"/>
    <n v="181.5"/>
    <n v="0"/>
  </r>
  <r>
    <x v="0"/>
    <x v="1"/>
    <s v="Resomaex,S.L"/>
    <n v="100"/>
    <n v="0"/>
    <n v="21"/>
    <n v="121"/>
    <n v="0"/>
  </r>
  <r>
    <x v="0"/>
    <x v="1"/>
    <s v="Grupo Horauto Extremadura, SL"/>
    <n v="150"/>
    <n v="0"/>
    <n v="31.5"/>
    <n v="181.5"/>
    <n v="0"/>
  </r>
  <r>
    <x v="0"/>
    <x v="1"/>
    <s v="Grupo Vinícola Taninos,S.L"/>
    <n v="1500"/>
    <n v="0"/>
    <n v="315"/>
    <n v="1815"/>
    <n v="0"/>
  </r>
  <r>
    <x v="0"/>
    <x v="1"/>
    <s v="Sánchez Sánchez Antonia"/>
    <n v="125"/>
    <n v="0"/>
    <n v="26.25"/>
    <n v="151.25"/>
    <n v="0"/>
  </r>
  <r>
    <x v="0"/>
    <x v="1"/>
    <s v="Constructora Promotora Hnos Viceira, S.L"/>
    <n v="200"/>
    <n v="0"/>
    <n v="42"/>
    <n v="242"/>
    <n v="0"/>
  </r>
  <r>
    <x v="0"/>
    <x v="1"/>
    <s v="Strata Pavimentos,S.L.U"/>
    <n v="150"/>
    <n v="0"/>
    <n v="31.5"/>
    <n v="181.5"/>
    <n v="0"/>
  </r>
  <r>
    <x v="0"/>
    <x v="1"/>
    <s v="Cruz Martín Miguel - Ébano y Kaoba"/>
    <n v="150"/>
    <n v="84.51"/>
    <n v="31.5"/>
    <n v="266.01"/>
    <n v="0"/>
  </r>
  <r>
    <x v="0"/>
    <x v="1"/>
    <s v="Productos Cárnicos El Chichero, SL"/>
    <n v="150"/>
    <n v="0"/>
    <n v="31.5"/>
    <n v="181.5"/>
    <n v="0"/>
  </r>
  <r>
    <x v="0"/>
    <x v="1"/>
    <s v="García Romero Jose Javier"/>
    <n v="1445.63"/>
    <n v="4.5199999999999996"/>
    <n v="303.58"/>
    <n v="1753.73"/>
    <n v="0"/>
  </r>
  <r>
    <x v="0"/>
    <x v="1"/>
    <s v="Centro Almagro de Formación Integral S.L"/>
    <n v="80"/>
    <n v="26.22"/>
    <n v="16.8"/>
    <n v="123.02"/>
    <n v="0"/>
  </r>
  <r>
    <x v="0"/>
    <x v="1"/>
    <s v="Vaquero Chacón Carlos"/>
    <n v="150"/>
    <n v="0"/>
    <n v="31.5"/>
    <n v="181.5"/>
    <n v="0"/>
  </r>
  <r>
    <x v="0"/>
    <x v="1"/>
    <s v="Exaclean S.L"/>
    <n v="150"/>
    <n v="0"/>
    <n v="31.5"/>
    <n v="181.5"/>
    <n v="0"/>
  </r>
  <r>
    <x v="0"/>
    <x v="1"/>
    <s v="Grupo Segurymat,SL"/>
    <n v="100"/>
    <n v="0"/>
    <n v="21"/>
    <n v="121"/>
    <n v="0"/>
  </r>
  <r>
    <x v="0"/>
    <x v="1"/>
    <s v="Viajes Jose Antonio, S.L"/>
    <n v="80"/>
    <n v="0"/>
    <n v="16.8"/>
    <n v="96.8"/>
    <n v="0"/>
  </r>
  <r>
    <x v="0"/>
    <x v="1"/>
    <s v="Grupo Inmobiliario Barmar,S.L"/>
    <n v="500"/>
    <n v="0"/>
    <n v="105"/>
    <n v="605"/>
    <n v="0"/>
  </r>
  <r>
    <x v="1"/>
    <x v="1"/>
    <s v="Delgado Saavedra Francisco Javier"/>
    <n v="250"/>
    <n v="0"/>
    <n v="52.5"/>
    <n v="302.5"/>
    <n v="0"/>
  </r>
  <r>
    <x v="0"/>
    <x v="1"/>
    <s v="Constroca Materiales de Construcción,S.L"/>
    <n v="3832.23"/>
    <n v="0"/>
    <n v="804.77"/>
    <n v="4637"/>
    <n v="0"/>
  </r>
  <r>
    <x v="1"/>
    <x v="1"/>
    <s v="Delgado Saavedra Francisco Javier"/>
    <n v="250"/>
    <n v="0"/>
    <n v="52.5"/>
    <n v="302.5"/>
    <n v="0"/>
  </r>
  <r>
    <x v="0"/>
    <x v="1"/>
    <s v="Suárez Cáceres Luz Victoria"/>
    <n v="867.77"/>
    <n v="0"/>
    <n v="182.23"/>
    <n v="1050"/>
    <n v="0"/>
  </r>
  <r>
    <x v="1"/>
    <x v="1"/>
    <s v="Vaca Casimiro Fernando Miguel"/>
    <n v="82.65"/>
    <n v="0"/>
    <n v="17.350000000000001"/>
    <n v="100"/>
    <n v="0"/>
  </r>
  <r>
    <x v="0"/>
    <x v="1"/>
    <s v="Nova Ramos Emilio Fermín"/>
    <n v="195.91"/>
    <n v="10"/>
    <n v="41.14"/>
    <n v="247.05"/>
    <n v="0"/>
  </r>
  <r>
    <x v="1"/>
    <x v="1"/>
    <s v="Navarro Durán Dolores"/>
    <n v="600"/>
    <n v="0"/>
    <n v="126"/>
    <n v="726"/>
    <n v="0"/>
  </r>
  <r>
    <x v="0"/>
    <x v="1"/>
    <s v="Muñoz Preciado Odontólogos, S.L"/>
    <n v="0"/>
    <n v="110.93"/>
    <n v="0"/>
    <n v="110.93"/>
    <n v="0"/>
  </r>
  <r>
    <x v="0"/>
    <x v="1"/>
    <s v="Inversiones y Desarrollo Flashback,S.L"/>
    <n v="-800"/>
    <n v="-20"/>
    <n v="-168"/>
    <n v="-988"/>
    <n v="-988"/>
  </r>
  <r>
    <x v="0"/>
    <x v="1"/>
    <s v="Muñoz Suárez Vanesa Mariana"/>
    <n v="-400"/>
    <n v="0"/>
    <n v="-84"/>
    <n v="-484"/>
    <n v="0"/>
  </r>
  <r>
    <x v="0"/>
    <x v="1"/>
    <s v="Chapa de Barros,S.L.L"/>
    <n v="766.66"/>
    <n v="0"/>
    <n v="161"/>
    <n v="927.66"/>
    <n v="0"/>
  </r>
  <r>
    <x v="0"/>
    <x v="1"/>
    <s v="Bracamonte Paredes Manuel"/>
    <n v="60"/>
    <n v="0"/>
    <n v="12.6"/>
    <n v="72.599999999999994"/>
    <n v="0"/>
  </r>
  <r>
    <x v="0"/>
    <x v="1"/>
    <s v="Automóviles Sánchez Vargas,S.L"/>
    <n v="142.83000000000001"/>
    <n v="0"/>
    <n v="29.99"/>
    <n v="172.82"/>
    <n v="0"/>
  </r>
  <r>
    <x v="1"/>
    <x v="1"/>
    <s v="Comunidad Propietarios Avenida de la Paz"/>
    <n v="0"/>
    <n v="17.8"/>
    <n v="0"/>
    <n v="17.8"/>
    <n v="17.8"/>
  </r>
  <r>
    <x v="0"/>
    <x v="1"/>
    <s v="Gómez Domínguez Ivan David"/>
    <n v="821.73"/>
    <n v="0"/>
    <n v="172.56"/>
    <n v="994.29"/>
    <n v="0"/>
  </r>
  <r>
    <x v="0"/>
    <x v="1"/>
    <s v="Exaclean Sistemas de Higiene y Limpieza S.L"/>
    <n v="548.16"/>
    <n v="0"/>
    <n v="115.11"/>
    <n v="663.27"/>
    <n v="0"/>
  </r>
  <r>
    <x v="0"/>
    <x v="1"/>
    <s v="Grupo Flashback de Comunicación, S.L"/>
    <n v="800"/>
    <n v="40"/>
    <n v="168"/>
    <n v="1008"/>
    <n v="0"/>
  </r>
  <r>
    <x v="0"/>
    <x v="2"/>
    <s v="Resomaex,S.L"/>
    <n v="100"/>
    <n v="0"/>
    <n v="21"/>
    <n v="121"/>
    <n v="0"/>
  </r>
  <r>
    <x v="1"/>
    <x v="2"/>
    <s v="Twins Alimentación, SA"/>
    <n v="169.35"/>
    <n v="0"/>
    <n v="35.56"/>
    <n v="204.91"/>
    <n v="0"/>
  </r>
  <r>
    <x v="0"/>
    <x v="2"/>
    <s v="Recogida Extremeña de N.F.U. S.L"/>
    <n v="100"/>
    <n v="0"/>
    <n v="21"/>
    <n v="121"/>
    <n v="0"/>
  </r>
  <r>
    <x v="0"/>
    <x v="2"/>
    <s v="Comercial Extremeña de  Extintores, SL"/>
    <n v="150"/>
    <n v="0"/>
    <n v="31.5"/>
    <n v="181.5"/>
    <n v="0"/>
  </r>
  <r>
    <x v="0"/>
    <x v="2"/>
    <s v="Cruz Martín Miguel - Ébano y Kaoba"/>
    <n v="150"/>
    <n v="0"/>
    <n v="31.5"/>
    <n v="181.5"/>
    <n v="0"/>
  </r>
  <r>
    <x v="0"/>
    <x v="2"/>
    <s v="González Serrano Pedro"/>
    <n v="1400"/>
    <n v="0"/>
    <n v="294"/>
    <n v="1694"/>
    <n v="0"/>
  </r>
  <r>
    <x v="0"/>
    <x v="2"/>
    <s v="Inversionistas, S.L"/>
    <n v="150"/>
    <n v="0"/>
    <n v="31.5"/>
    <n v="181.5"/>
    <n v="0"/>
  </r>
  <r>
    <x v="0"/>
    <x v="2"/>
    <s v="Constroca Materiales de Construcción,S.L"/>
    <n v="150"/>
    <n v="157.36000000000001"/>
    <n v="31.5"/>
    <n v="338.86"/>
    <n v="0"/>
  </r>
  <r>
    <x v="0"/>
    <x v="2"/>
    <s v="García de Vinuesa Bonnail Sonsoles"/>
    <n v="100"/>
    <n v="0"/>
    <n v="21"/>
    <n v="121"/>
    <n v="0"/>
  </r>
  <r>
    <x v="0"/>
    <x v="2"/>
    <s v="Exaclean S.L"/>
    <n v="150"/>
    <n v="8.23"/>
    <n v="31.5"/>
    <n v="189.73"/>
    <n v="0"/>
  </r>
  <r>
    <x v="0"/>
    <x v="2"/>
    <s v="Strata Pavimentos,S.L.U"/>
    <n v="150"/>
    <n v="0"/>
    <n v="31.5"/>
    <n v="181.5"/>
    <n v="0"/>
  </r>
  <r>
    <x v="0"/>
    <x v="2"/>
    <s v="Viveros Juanjo de las Vegas  Bajas del Guadiana,S.L"/>
    <n v="200"/>
    <n v="0"/>
    <n v="42"/>
    <n v="242"/>
    <n v="0"/>
  </r>
  <r>
    <x v="0"/>
    <x v="2"/>
    <s v="Casle, CB"/>
    <n v="150"/>
    <n v="0"/>
    <n v="31.5"/>
    <n v="181.5"/>
    <n v="0"/>
  </r>
  <r>
    <x v="0"/>
    <x v="2"/>
    <s v="Grupo Flashback de Comunicación, S.L"/>
    <n v="400"/>
    <n v="0"/>
    <n v="84"/>
    <n v="484"/>
    <n v="0"/>
  </r>
  <r>
    <x v="0"/>
    <x v="2"/>
    <s v="Casle, CB"/>
    <n v="833.33"/>
    <n v="0"/>
    <n v="175"/>
    <n v="1008.33"/>
    <n v="0"/>
  </r>
  <r>
    <x v="0"/>
    <x v="2"/>
    <s v="Aridos y Hormigones Rojo, S.L"/>
    <n v="100"/>
    <n v="0"/>
    <n v="21"/>
    <n v="121"/>
    <n v="0"/>
  </r>
  <r>
    <x v="0"/>
    <x v="2"/>
    <s v="Nova Ramos Emilio Fermín"/>
    <n v="80"/>
    <n v="0"/>
    <n v="16.8"/>
    <n v="96.8"/>
    <n v="0"/>
  </r>
  <r>
    <x v="0"/>
    <x v="2"/>
    <s v="Sánchez Gallardo Elena"/>
    <n v="300"/>
    <n v="0"/>
    <n v="63"/>
    <n v="363"/>
    <n v="0"/>
  </r>
  <r>
    <x v="0"/>
    <x v="2"/>
    <s v="Productos Cárnicos El Chichero, SL"/>
    <n v="150"/>
    <n v="15.74"/>
    <n v="31.5"/>
    <n v="197.24"/>
    <n v="0"/>
  </r>
  <r>
    <x v="0"/>
    <x v="2"/>
    <s v="Centro Almagro de Formación Integral S.L"/>
    <n v="80"/>
    <n v="0"/>
    <n v="16.8"/>
    <n v="96.8"/>
    <n v="0"/>
  </r>
  <r>
    <x v="0"/>
    <x v="2"/>
    <s v="León Carrascal Víctor Manuel"/>
    <n v="50"/>
    <n v="0"/>
    <n v="10.5"/>
    <n v="60.5"/>
    <n v="0"/>
  </r>
  <r>
    <x v="1"/>
    <x v="2"/>
    <s v="Obreo Diez Eladio"/>
    <n v="300"/>
    <n v="0"/>
    <n v="63"/>
    <n v="363"/>
    <n v="0"/>
  </r>
  <r>
    <x v="0"/>
    <x v="2"/>
    <s v="Mecaber Sureste, S.L"/>
    <n v="200"/>
    <n v="0"/>
    <n v="42"/>
    <n v="242"/>
    <n v="0"/>
  </r>
  <r>
    <x v="0"/>
    <x v="2"/>
    <s v="Constructora Promotora Hnos Viceira, S.L"/>
    <n v="200"/>
    <n v="11.5"/>
    <n v="42"/>
    <n v="253.5"/>
    <n v="0"/>
  </r>
  <r>
    <x v="0"/>
    <x v="2"/>
    <s v="Avanza Texture,S.L"/>
    <n v="60"/>
    <n v="0"/>
    <n v="12.6"/>
    <n v="72.599999999999994"/>
    <n v="0"/>
  </r>
  <r>
    <x v="0"/>
    <x v="2"/>
    <s v="Instalaciones y Electrodomésticos Antonio Díaz,S.L"/>
    <n v="100"/>
    <n v="0"/>
    <n v="21"/>
    <n v="121"/>
    <n v="0"/>
  </r>
  <r>
    <x v="0"/>
    <x v="2"/>
    <s v="Tortonda Gordillo Pedro Ángel"/>
    <n v="80"/>
    <n v="0"/>
    <n v="16.8"/>
    <n v="96.8"/>
    <n v="0"/>
  </r>
  <r>
    <x v="0"/>
    <x v="2"/>
    <s v="Viajes Jose Antonio, S.L"/>
    <n v="80"/>
    <n v="0"/>
    <n v="16.8"/>
    <n v="96.8"/>
    <n v="0"/>
  </r>
  <r>
    <x v="1"/>
    <x v="2"/>
    <s v="Distribuidora Internacional de Alimentación, S.A"/>
    <n v="880.65"/>
    <n v="0"/>
    <n v="184.94"/>
    <n v="1065.5899999999999"/>
    <n v="0"/>
  </r>
  <r>
    <x v="0"/>
    <x v="2"/>
    <s v="Grupo Horauto Extremadura, SL"/>
    <n v="150"/>
    <n v="0"/>
    <n v="31.5"/>
    <n v="181.5"/>
    <n v="0"/>
  </r>
  <r>
    <x v="0"/>
    <x v="2"/>
    <s v="Transportes Lobato Valadés, S.L"/>
    <n v="100"/>
    <n v="0"/>
    <n v="21"/>
    <n v="121"/>
    <n v="0"/>
  </r>
  <r>
    <x v="0"/>
    <x v="2"/>
    <s v="Voztechnology Company Services,S.L"/>
    <n v="50"/>
    <n v="0"/>
    <n v="10.5"/>
    <n v="60.5"/>
    <n v="0"/>
  </r>
  <r>
    <x v="1"/>
    <x v="2"/>
    <s v="Área de Servicio Almendralejo, S.L"/>
    <n v="100"/>
    <n v="0"/>
    <n v="21"/>
    <n v="121"/>
    <n v="0"/>
  </r>
  <r>
    <x v="0"/>
    <x v="2"/>
    <s v="Gimeno Valero Jose Mª"/>
    <n v="35"/>
    <n v="0"/>
    <n v="7.35"/>
    <n v="42.35"/>
    <n v="0"/>
  </r>
  <r>
    <x v="0"/>
    <x v="2"/>
    <s v="Ramal Amaya Israel"/>
    <n v="80"/>
    <n v="0"/>
    <n v="16.8"/>
    <n v="96.8"/>
    <n v="0"/>
  </r>
  <r>
    <x v="1"/>
    <x v="2"/>
    <s v="Romero González Daniel"/>
    <n v="150"/>
    <n v="0"/>
    <n v="31.5"/>
    <n v="181.5"/>
    <n v="0"/>
  </r>
  <r>
    <x v="0"/>
    <x v="2"/>
    <s v="Aunión Vázquez SLU"/>
    <n v="100"/>
    <n v="0"/>
    <n v="21"/>
    <n v="121"/>
    <n v="0"/>
  </r>
  <r>
    <x v="0"/>
    <x v="2"/>
    <s v="Muñoz Preciado Odontólogos, S.L"/>
    <n v="150"/>
    <n v="0"/>
    <n v="31.5"/>
    <n v="181.5"/>
    <n v="0"/>
  </r>
  <r>
    <x v="0"/>
    <x v="2"/>
    <s v="Mármoles Lobón,S.L"/>
    <n v="150"/>
    <n v="0"/>
    <n v="31.5"/>
    <n v="181.5"/>
    <n v="0"/>
  </r>
  <r>
    <x v="0"/>
    <x v="2"/>
    <s v="El Búho 24 Horas,S.L"/>
    <n v="100"/>
    <n v="0"/>
    <n v="21"/>
    <n v="121"/>
    <n v="0"/>
  </r>
  <r>
    <x v="0"/>
    <x v="2"/>
    <s v="Automóviles Sánchez Vargas,S.L"/>
    <n v="95"/>
    <n v="0"/>
    <n v="19.95"/>
    <n v="114.95"/>
    <n v="0"/>
  </r>
  <r>
    <x v="0"/>
    <x v="2"/>
    <s v="Emericuiness,S.L"/>
    <n v="150"/>
    <n v="0"/>
    <n v="31.5"/>
    <n v="181.5"/>
    <n v="0"/>
  </r>
  <r>
    <x v="0"/>
    <x v="2"/>
    <s v="Trejo Burgos Joaquín"/>
    <n v="150"/>
    <n v="0"/>
    <n v="31.5"/>
    <n v="181.5"/>
    <n v="0"/>
  </r>
  <r>
    <x v="0"/>
    <x v="2"/>
    <s v="Inalba Fundada 2008, S.L"/>
    <n v="50"/>
    <n v="0"/>
    <n v="10.5"/>
    <n v="60.5"/>
    <n v="0"/>
  </r>
  <r>
    <x v="0"/>
    <x v="2"/>
    <s v="García Núñez Ismael"/>
    <n v="100"/>
    <n v="0"/>
    <n v="21"/>
    <n v="121"/>
    <n v="0"/>
  </r>
  <r>
    <x v="0"/>
    <x v="2"/>
    <s v="Nava Redonda SCL"/>
    <n v="80"/>
    <n v="0"/>
    <n v="16.8"/>
    <n v="96.8"/>
    <n v="0"/>
  </r>
  <r>
    <x v="0"/>
    <x v="2"/>
    <s v="Álvarez Sayago Josefa"/>
    <n v="1721.9"/>
    <n v="0"/>
    <n v="361.6"/>
    <n v="2083.5"/>
    <n v="0"/>
  </r>
  <r>
    <x v="0"/>
    <x v="2"/>
    <s v="Grupo Segurymat,SL"/>
    <n v="100"/>
    <n v="0"/>
    <n v="21"/>
    <n v="121"/>
    <n v="0"/>
  </r>
  <r>
    <x v="0"/>
    <x v="2"/>
    <s v="Extremeña de Construcciones y Reformas 2012, S.L"/>
    <n v="150"/>
    <n v="36.32"/>
    <n v="31.5"/>
    <n v="217.82"/>
    <n v="0"/>
  </r>
  <r>
    <x v="0"/>
    <x v="2"/>
    <s v="Sánchez Sánchez Antonia"/>
    <n v="125"/>
    <n v="0"/>
    <n v="26.25"/>
    <n v="151.25"/>
    <n v="0"/>
  </r>
  <r>
    <x v="0"/>
    <x v="2"/>
    <s v="Distribuidora de Higiene de Extremadura, SL"/>
    <n v="100"/>
    <n v="0"/>
    <n v="21"/>
    <n v="121"/>
    <n v="0"/>
  </r>
  <r>
    <x v="0"/>
    <x v="2"/>
    <s v="HOSTELCHOLLO,S.L."/>
    <n v="150"/>
    <n v="0"/>
    <n v="31.5"/>
    <n v="181.5"/>
    <n v="0"/>
  </r>
  <r>
    <x v="0"/>
    <x v="2"/>
    <s v="Vaquero Chacón Carlos"/>
    <n v="150"/>
    <n v="0"/>
    <n v="31.5"/>
    <n v="181.5"/>
    <n v="0"/>
  </r>
  <r>
    <x v="0"/>
    <x v="2"/>
    <s v="Belaman Cubero Jose Luis"/>
    <n v="1500"/>
    <n v="0"/>
    <n v="315"/>
    <n v="1815"/>
    <n v="0"/>
  </r>
  <r>
    <x v="0"/>
    <x v="2"/>
    <s v="Martín Caballero Rosa María"/>
    <n v="900"/>
    <n v="0"/>
    <n v="189"/>
    <n v="1089"/>
    <n v="0"/>
  </r>
  <r>
    <x v="0"/>
    <x v="2"/>
    <s v="Hermoso Galindo Antonio Mª"/>
    <n v="560"/>
    <n v="0"/>
    <n v="117.6"/>
    <n v="677.6"/>
    <n v="0"/>
  </r>
  <r>
    <x v="0"/>
    <x v="2"/>
    <s v="La Barra de Taninos,S.L"/>
    <n v="1500"/>
    <n v="0"/>
    <n v="315"/>
    <n v="1815"/>
    <n v="0"/>
  </r>
  <r>
    <x v="0"/>
    <x v="2"/>
    <s v="Correa Gabardino Jose Francisco"/>
    <n v="416.66"/>
    <n v="0"/>
    <n v="87.5"/>
    <n v="504.16"/>
    <n v="0"/>
  </r>
  <r>
    <x v="1"/>
    <x v="2"/>
    <s v="Heral Enologia, S.L"/>
    <n v="9099.4599999999991"/>
    <n v="0"/>
    <n v="1910.89"/>
    <n v="11010.35"/>
    <n v="0"/>
  </r>
  <r>
    <x v="1"/>
    <x v="2"/>
    <s v="Lallave González Jesús"/>
    <n v="300"/>
    <n v="0"/>
    <n v="63"/>
    <n v="363"/>
    <n v="0"/>
  </r>
  <r>
    <x v="1"/>
    <x v="2"/>
    <s v="Rodríguez Esperanza María de la Soledad"/>
    <n v="2521.2600000000002"/>
    <n v="0"/>
    <n v="529.46"/>
    <n v="3050.72"/>
    <n v="0"/>
  </r>
  <r>
    <x v="0"/>
    <x v="2"/>
    <s v="Hosteinex,S.L"/>
    <n v="500"/>
    <n v="0"/>
    <n v="105"/>
    <n v="605"/>
    <n v="0"/>
  </r>
  <r>
    <x v="1"/>
    <x v="2"/>
    <s v="REDISUREX SPAIN PRODUCTS SL"/>
    <n v="300"/>
    <n v="0"/>
    <n v="63"/>
    <n v="363"/>
    <n v="0"/>
  </r>
  <r>
    <x v="0"/>
    <x v="2"/>
    <s v="Extremeña de Camiones S.A"/>
    <n v="500"/>
    <n v="0"/>
    <n v="105"/>
    <n v="605"/>
    <n v="0"/>
  </r>
  <r>
    <x v="0"/>
    <x v="2"/>
    <s v="Martín Caballero Jose María"/>
    <n v="300"/>
    <n v="0"/>
    <n v="63"/>
    <n v="363"/>
    <n v="0"/>
  </r>
  <r>
    <x v="0"/>
    <x v="2"/>
    <s v="Emericuiness,S.L"/>
    <n v="1000"/>
    <n v="0"/>
    <n v="210"/>
    <n v="1210"/>
    <n v="0"/>
  </r>
  <r>
    <x v="0"/>
    <x v="2"/>
    <s v="Maquiautomáticas FE, S.L"/>
    <n v="1500"/>
    <n v="0"/>
    <n v="315"/>
    <n v="1815"/>
    <n v="0"/>
  </r>
  <r>
    <x v="0"/>
    <x v="2"/>
    <s v="Extremeña de Camiones S.A"/>
    <n v="150"/>
    <n v="0"/>
    <n v="31.5"/>
    <n v="181.5"/>
    <n v="0"/>
  </r>
  <r>
    <x v="0"/>
    <x v="2"/>
    <s v="Chapa de Barros,S.L.L"/>
    <n v="766.66"/>
    <n v="10"/>
    <n v="161"/>
    <n v="937.66"/>
    <n v="0"/>
  </r>
  <r>
    <x v="0"/>
    <x v="2"/>
    <s v="Maquiautomáticas FE, S.L"/>
    <n v="150"/>
    <n v="0"/>
    <n v="31.5"/>
    <n v="181.5"/>
    <n v="0"/>
  </r>
  <r>
    <x v="0"/>
    <x v="2"/>
    <s v="Naranjo Caballero María del Carmen"/>
    <n v="150"/>
    <n v="0"/>
    <n v="31.5"/>
    <n v="181.5"/>
    <n v="0"/>
  </r>
  <r>
    <x v="0"/>
    <x v="2"/>
    <s v="Muñoz Suárez Vanesa Mariana"/>
    <n v="495.87"/>
    <n v="0"/>
    <n v="104.13"/>
    <n v="600"/>
    <n v="0"/>
  </r>
  <r>
    <x v="0"/>
    <x v="2"/>
    <s v="López Jiménez Antonia"/>
    <n v="378"/>
    <n v="0"/>
    <n v="79.38"/>
    <n v="457.38"/>
    <n v="0"/>
  </r>
  <r>
    <x v="0"/>
    <x v="2"/>
    <s v="Viajes Jose Antonio, S.L"/>
    <n v="89.38"/>
    <n v="0"/>
    <n v="18.77"/>
    <n v="108.15"/>
    <n v="0"/>
  </r>
  <r>
    <x v="0"/>
    <x v="2"/>
    <s v="Da Silva Álvarez Lourdes"/>
    <n v="500"/>
    <n v="0"/>
    <n v="105"/>
    <n v="605"/>
    <n v="605"/>
  </r>
  <r>
    <x v="0"/>
    <x v="2"/>
    <s v="Sánchez Vicente Jerónimo"/>
    <n v="1295.0999999999999"/>
    <n v="0"/>
    <n v="271.97000000000003"/>
    <n v="1567.07"/>
    <n v="0"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076FA2-E2D7-463B-A8C5-99D92A7A4FA8}" name="TablaDinámica1" cacheId="0" applyNumberFormats="0" applyBorderFormats="0" applyFontFormats="0" applyPatternFormats="0" applyAlignmentFormats="0" applyWidthHeightFormats="1" dataCaption="Valores" updatedVersion="6" minRefreshableVersion="3" useAutoFormatting="1" colGrandTotals="0" itemPrintTitles="1" createdVersion="6" indent="0" outline="1" outlineData="1" multipleFieldFilters="0" chartFormat="5">
  <location ref="J1:M5" firstHeaderRow="1" firstDataRow="2" firstDataCol="1"/>
  <pivotFields count="8">
    <pivotField axis="axisRow" showAll="0">
      <items count="4">
        <item x="1"/>
        <item x="0"/>
        <item h="1" x="2"/>
        <item t="default"/>
      </items>
    </pivotField>
    <pivotField axis="axisCol" showAll="0">
      <items count="14">
        <item m="1" x="11"/>
        <item m="1" x="10"/>
        <item m="1" x="6"/>
        <item m="1" x="9"/>
        <item m="1" x="7"/>
        <item m="1" x="12"/>
        <item m="1" x="8"/>
        <item m="1" x="5"/>
        <item m="1" x="4"/>
        <item x="0"/>
        <item x="1"/>
        <item x="2"/>
        <item x="3"/>
        <item t="default"/>
      </items>
    </pivotField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3">
    <i>
      <x v="9"/>
    </i>
    <i>
      <x v="10"/>
    </i>
    <i>
      <x v="11"/>
    </i>
  </colItems>
  <dataFields count="1">
    <dataField name="Suma de Total base imponible" fld="3" baseField="0" baseItem="0"/>
  </dataFields>
  <chartFormats count="12"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4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4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>
    <tabColor theme="9" tint="0.39997558519241921"/>
    <pageSetUpPr fitToPage="1"/>
  </sheetPr>
  <dimension ref="D1:W15"/>
  <sheetViews>
    <sheetView showGridLines="0" tabSelected="1" zoomScale="60" zoomScaleNormal="60" workbookViewId="0">
      <selection activeCell="X8" sqref="X8"/>
    </sheetView>
  </sheetViews>
  <sheetFormatPr baseColWidth="10" defaultRowHeight="14.5" x14ac:dyDescent="0.35"/>
  <cols>
    <col min="5" max="5" width="8.7265625" customWidth="1"/>
    <col min="6" max="6" width="15.36328125" bestFit="1" customWidth="1"/>
    <col min="7" max="7" width="9.54296875" bestFit="1" customWidth="1"/>
    <col min="8" max="8" width="10.36328125" bestFit="1" customWidth="1"/>
    <col min="9" max="9" width="2.7265625" customWidth="1"/>
    <col min="10" max="10" width="9.54296875" bestFit="1" customWidth="1"/>
    <col min="11" max="11" width="6.26953125" bestFit="1" customWidth="1"/>
    <col min="12" max="12" width="10.54296875" bestFit="1" customWidth="1"/>
    <col min="13" max="13" width="6.26953125" bestFit="1" customWidth="1"/>
    <col min="14" max="14" width="3" customWidth="1"/>
    <col min="15" max="15" width="12.08984375" bestFit="1" customWidth="1"/>
    <col min="16" max="16" width="6.1796875" bestFit="1" customWidth="1"/>
    <col min="17" max="17" width="10.54296875" bestFit="1" customWidth="1"/>
    <col min="18" max="18" width="7.08984375" customWidth="1"/>
    <col min="23" max="23" width="6.81640625" customWidth="1"/>
  </cols>
  <sheetData>
    <row r="1" spans="4:23" ht="37.5" customHeight="1" x14ac:dyDescent="0.35">
      <c r="D1" s="91" t="s">
        <v>126</v>
      </c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</row>
    <row r="2" spans="4:23" ht="25" customHeight="1" x14ac:dyDescent="0.35"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pans="4:23" ht="12" customHeight="1" x14ac:dyDescent="0.35"/>
    <row r="4" spans="4:23" ht="14.5" customHeight="1" x14ac:dyDescent="0.35">
      <c r="F4" s="97" t="str">
        <f>CONCATENATE("Ventas totales ",G8)</f>
        <v>Ventas totales Marzo</v>
      </c>
      <c r="G4" s="97"/>
      <c r="H4" s="97"/>
      <c r="O4" s="97" t="str">
        <f>CONCATENATE("Ventas acumuladas ")</f>
        <v xml:space="preserve">Ventas acumuladas </v>
      </c>
      <c r="P4" s="97"/>
      <c r="Q4" s="97"/>
      <c r="R4" s="97"/>
    </row>
    <row r="5" spans="4:23" ht="15" customHeight="1" thickBot="1" x14ac:dyDescent="0.4">
      <c r="F5" s="95"/>
      <c r="G5" s="96"/>
      <c r="H5" s="96"/>
    </row>
    <row r="6" spans="4:23" ht="28.5" customHeight="1" thickBot="1" x14ac:dyDescent="0.4">
      <c r="F6" s="95"/>
      <c r="G6" s="96"/>
      <c r="H6" s="96"/>
      <c r="J6" s="57" t="s">
        <v>76</v>
      </c>
      <c r="K6" s="92" t="s">
        <v>44</v>
      </c>
      <c r="L6" s="93"/>
      <c r="M6" s="94"/>
    </row>
    <row r="7" spans="4:23" ht="15" thickBot="1" x14ac:dyDescent="0.4"/>
    <row r="8" spans="4:23" ht="15" thickBot="1" x14ac:dyDescent="0.4">
      <c r="G8" s="37" t="str">
        <f>K6</f>
        <v>Marzo</v>
      </c>
      <c r="H8" s="86" t="s">
        <v>123</v>
      </c>
      <c r="J8" s="37" t="str">
        <f>CONCATENATE(G8," ","18")</f>
        <v>Marzo 18</v>
      </c>
      <c r="K8" s="83" t="s">
        <v>122</v>
      </c>
      <c r="L8" s="83" t="s">
        <v>124</v>
      </c>
      <c r="M8" s="86" t="s">
        <v>122</v>
      </c>
      <c r="O8" s="37" t="str">
        <f>CONCATENATE(G8," ","BG")</f>
        <v>Marzo BG</v>
      </c>
      <c r="P8" s="83" t="s">
        <v>122</v>
      </c>
      <c r="Q8" s="83" t="s">
        <v>125</v>
      </c>
      <c r="R8" s="86" t="s">
        <v>122</v>
      </c>
    </row>
    <row r="9" spans="4:23" ht="15" thickBot="1" x14ac:dyDescent="0.4">
      <c r="F9" s="81" t="s">
        <v>67</v>
      </c>
      <c r="G9" s="87">
        <f>VLOOKUP($F$9,'Cta Resultados'!P3:AB3,MATCH('Análisis Datos'!$G$8,'Cta Resultados'!P2:AB2,0),0)</f>
        <v>36172.620000000003</v>
      </c>
      <c r="H9" s="88">
        <f>SUMPRODUCT('Cta Resultados'!$Q$1:$AB$1,'Cta Resultados'!Q3:AB3)</f>
        <v>73187</v>
      </c>
      <c r="J9" s="87">
        <f>VLOOKUP($F$9,'Cta Resultados'!A3:N3,MATCH('Análisis Datos'!$G$8,'Cta Resultados'!A2:N2,0),0)</f>
        <v>47690.289999999994</v>
      </c>
      <c r="K9" s="85">
        <f>G9/J9-1</f>
        <v>-0.24150974967860317</v>
      </c>
      <c r="L9" s="90">
        <f>SUMPRODUCT('Cta Resultados'!$Q$1:$AB$1,'Cta Resultados'!B3:M3)</f>
        <v>109458.84999999999</v>
      </c>
      <c r="M9" s="84">
        <f>H9/L9-1</f>
        <v>-0.33137430184950778</v>
      </c>
      <c r="O9" s="82">
        <f>VLOOKUP($F$9,'Cta Resultados'!AE3:AR3,MATCH('Análisis Datos'!$G$8,'Cta Resultados'!AE2:AR2,0),0)</f>
        <v>50000</v>
      </c>
      <c r="P9" s="85">
        <f>IFERROR(H9/O9-1,"")</f>
        <v>0.46374000000000004</v>
      </c>
      <c r="Q9" s="90">
        <f>SUMPRODUCT('Cta Resultados'!$Q$1:$AB$1,'Cta Resultados'!AF3:AQ3)</f>
        <v>150000</v>
      </c>
      <c r="R9" s="84">
        <f>IFERROR(J9/Q9-1,"")</f>
        <v>-0.6820647333333334</v>
      </c>
    </row>
    <row r="10" spans="4:23" ht="6.5" customHeight="1" thickBot="1" x14ac:dyDescent="0.4">
      <c r="F10" s="13"/>
      <c r="G10" s="89"/>
      <c r="H10" s="89"/>
      <c r="J10" s="89"/>
      <c r="K10" s="10"/>
      <c r="L10" s="89"/>
      <c r="M10" s="10"/>
      <c r="O10" s="10"/>
      <c r="P10" s="10"/>
      <c r="Q10" s="89"/>
      <c r="R10" s="10"/>
    </row>
    <row r="11" spans="4:23" ht="15" thickBot="1" x14ac:dyDescent="0.4">
      <c r="F11" s="81" t="s">
        <v>79</v>
      </c>
      <c r="G11" s="87">
        <f>VLOOKUP($F$11,'Cta Resultados'!P6:AB6,MATCH('Análisis Datos'!$G$8,'Cta Resultados'!P2:AB2,0),0)</f>
        <v>11813.261999999999</v>
      </c>
      <c r="H11" s="88">
        <f>SUMPRODUCT('Cta Resultados'!$Q$1:$AB$1,'Cta Resultados'!Q6:AB6)</f>
        <v>36774.045842975203</v>
      </c>
      <c r="J11" s="87">
        <f>VLOOKUP($F$11,'Cta Resultados'!A6:N6,MATCH('Análisis Datos'!$G$8,'Cta Resultados'!A2:N2,0),0)</f>
        <v>20332.28</v>
      </c>
      <c r="K11" s="85">
        <f>G11/J11-1</f>
        <v>-0.41898980340620928</v>
      </c>
      <c r="L11" s="90">
        <f>SUMPRODUCT('Cta Resultados'!$Q$1:$AB$1,'Cta Resultados'!B6:M6)</f>
        <v>55605.627</v>
      </c>
      <c r="M11" s="84">
        <f>H11/L11-1</f>
        <v>-0.33866322839997465</v>
      </c>
      <c r="O11" s="82">
        <f>VLOOKUP($F$11,'Cta Resultados'!AE6:AR6,MATCH('Análisis Datos'!$G$8,'Cta Resultados'!AE2:AR2,0),0)</f>
        <v>0</v>
      </c>
      <c r="P11" s="85" t="str">
        <f>IFERROR(H11/O11-1,"")</f>
        <v/>
      </c>
      <c r="Q11" s="90">
        <f>SUMPRODUCT('Cta Resultados'!$Q$1:$AB$1,'Cta Resultados'!AF6:AQ6)</f>
        <v>0</v>
      </c>
      <c r="R11" s="84" t="str">
        <f>IFERROR(J11/Q11-1,"")</f>
        <v/>
      </c>
    </row>
    <row r="12" spans="4:23" ht="6.5" customHeight="1" thickBot="1" x14ac:dyDescent="0.4">
      <c r="F12" s="13"/>
      <c r="G12" s="89"/>
      <c r="H12" s="89"/>
      <c r="J12" s="89"/>
      <c r="K12" s="10"/>
      <c r="L12" s="89"/>
      <c r="M12" s="10"/>
      <c r="O12" s="10"/>
      <c r="P12" s="10"/>
      <c r="Q12" s="89"/>
      <c r="R12" s="10"/>
    </row>
    <row r="13" spans="4:23" ht="15" thickBot="1" x14ac:dyDescent="0.4">
      <c r="F13" s="81" t="s">
        <v>69</v>
      </c>
      <c r="G13" s="87">
        <f>VLOOKUP($F$13,'Cta Resultados'!P11:AB11,MATCH('Análisis Datos'!$G$8,'Cta Resultados'!P2:AB2,0),0)</f>
        <v>18176.514999999999</v>
      </c>
      <c r="H13" s="88">
        <f>SUMPRODUCT('Cta Resultados'!Q11:AB11,'Cta Resultados'!$Q$1:$AB$1)</f>
        <v>40285.544999999998</v>
      </c>
      <c r="J13" s="87">
        <f>VLOOKUP($F$13,'Cta Resultados'!A11:N11,MATCH('Análisis Datos'!$G$8,'Cta Resultados'!A2:N2,0),0)</f>
        <v>14488.309999999998</v>
      </c>
      <c r="K13" s="85">
        <f>G13/J13-1</f>
        <v>0.25456419692842047</v>
      </c>
      <c r="L13" s="90">
        <f>SUMPRODUCT('Cta Resultados'!B11:M11,'Cta Resultados'!$Q$1:$AB$1)</f>
        <v>40875.399999999994</v>
      </c>
      <c r="M13" s="84">
        <f>H13/L13-1</f>
        <v>-1.4430562147404014E-2</v>
      </c>
      <c r="O13" s="82">
        <f>VLOOKUP($F$13,'Cta Resultados'!AE11:AR11,MATCH('Análisis Datos'!$G$8,'Cta Resultados'!AE2:AR2,0),0)</f>
        <v>0</v>
      </c>
      <c r="P13" s="85" t="str">
        <f>IFERROR(H13/O13-1,"")</f>
        <v/>
      </c>
      <c r="Q13" s="90">
        <f>SUMPRODUCT('Cta Resultados'!AF11:AQ11,'Cta Resultados'!$Q$1:$AB$1)</f>
        <v>0</v>
      </c>
      <c r="R13" s="84" t="str">
        <f>IFERROR(J13/Q13-1,"")</f>
        <v/>
      </c>
    </row>
    <row r="14" spans="4:23" ht="6.5" customHeight="1" thickBot="1" x14ac:dyDescent="0.4">
      <c r="G14" s="89"/>
      <c r="H14" s="89"/>
      <c r="J14" s="89"/>
      <c r="K14" s="10"/>
      <c r="L14" s="89"/>
      <c r="M14" s="10"/>
      <c r="O14" s="10"/>
      <c r="P14" s="10"/>
      <c r="Q14" s="89"/>
      <c r="R14" s="10"/>
    </row>
    <row r="15" spans="4:23" ht="15" thickBot="1" x14ac:dyDescent="0.4">
      <c r="F15" s="81" t="s">
        <v>74</v>
      </c>
      <c r="G15" s="87">
        <f>VLOOKUP("Resultado Neto antes de I.S.",'Cta Resultados'!P29:AB29,MATCH('Análisis Datos'!$G$8,'Cta Resultados'!P2:AB2,0),0)</f>
        <v>4336.453000000005</v>
      </c>
      <c r="H15" s="88">
        <f>SUMPRODUCT('Cta Resultados'!Q29:AB29,'Cta Resultados'!$Q$1:$AB$1)</f>
        <v>-7693.3008429751972</v>
      </c>
      <c r="J15" s="87">
        <f>VLOOKUP("Resultado Neto antes de I.S.",'Cta Resultados'!A29:N29,MATCH('Análisis Datos'!$G$8,'Cta Resultados'!A2:N2,0),0)</f>
        <v>11758.679999999997</v>
      </c>
      <c r="K15" s="85">
        <f>G15/J15-1</f>
        <v>-0.63121260209479235</v>
      </c>
      <c r="L15" s="90">
        <f>SUMPRODUCT('Cta Resultados'!B29:M29,'Cta Resultados'!$Q$1:$AB$1)</f>
        <v>9305.43299999999</v>
      </c>
      <c r="M15" s="84">
        <f>H15/L15-1</f>
        <v>-1.8267536656247167</v>
      </c>
      <c r="O15" s="82">
        <f>VLOOKUP("Resultado Neto antes de I.S.",'Cta Resultados'!AE29:AR29,MATCH('Análisis Datos'!$G$8,'Cta Resultados'!AE2:AR2,0),0)</f>
        <v>50000</v>
      </c>
      <c r="P15" s="85">
        <f>IFERROR(H15/O15-1,"")</f>
        <v>-1.1538660168595039</v>
      </c>
      <c r="Q15" s="90">
        <f>SUMPRODUCT('Cta Resultados'!AF29:AQ29,'Cta Resultados'!$Q$1:$AB$1)</f>
        <v>150000</v>
      </c>
      <c r="R15" s="84">
        <f>IFERROR(J15/Q15-1,"")</f>
        <v>-0.92160880000000001</v>
      </c>
    </row>
  </sheetData>
  <mergeCells count="6">
    <mergeCell ref="D1:W2"/>
    <mergeCell ref="K6:M6"/>
    <mergeCell ref="F5:F6"/>
    <mergeCell ref="G5:H6"/>
    <mergeCell ref="F4:H4"/>
    <mergeCell ref="O4:R4"/>
  </mergeCells>
  <conditionalFormatting sqref="K9">
    <cfRule type="cellIs" dxfId="53" priority="67" operator="greaterThan">
      <formula>20</formula>
    </cfRule>
    <cfRule type="cellIs" dxfId="52" priority="68" operator="between">
      <formula>0</formula>
      <formula>20</formula>
    </cfRule>
    <cfRule type="cellIs" dxfId="51" priority="69" operator="lessThan">
      <formula>0</formula>
    </cfRule>
  </conditionalFormatting>
  <conditionalFormatting sqref="K11">
    <cfRule type="cellIs" dxfId="50" priority="64" operator="greaterThan">
      <formula>20</formula>
    </cfRule>
    <cfRule type="cellIs" dxfId="49" priority="65" operator="between">
      <formula>0</formula>
      <formula>20</formula>
    </cfRule>
    <cfRule type="cellIs" dxfId="48" priority="66" operator="lessThan">
      <formula>0</formula>
    </cfRule>
  </conditionalFormatting>
  <conditionalFormatting sqref="K13">
    <cfRule type="cellIs" dxfId="47" priority="61" operator="greaterThan">
      <formula>20%</formula>
    </cfRule>
    <cfRule type="cellIs" dxfId="46" priority="62" operator="between">
      <formula>0</formula>
      <formula>20</formula>
    </cfRule>
    <cfRule type="cellIs" dxfId="45" priority="63" operator="lessThan">
      <formula>0</formula>
    </cfRule>
  </conditionalFormatting>
  <conditionalFormatting sqref="K15">
    <cfRule type="cellIs" dxfId="44" priority="58" operator="greaterThan">
      <formula>20</formula>
    </cfRule>
    <cfRule type="cellIs" dxfId="43" priority="59" operator="between">
      <formula>0</formula>
      <formula>20</formula>
    </cfRule>
    <cfRule type="cellIs" dxfId="42" priority="60" operator="lessThan">
      <formula>0</formula>
    </cfRule>
  </conditionalFormatting>
  <conditionalFormatting sqref="M9">
    <cfRule type="cellIs" dxfId="41" priority="55" operator="greaterThan">
      <formula>20</formula>
    </cfRule>
    <cfRule type="cellIs" dxfId="40" priority="56" operator="between">
      <formula>0</formula>
      <formula>20</formula>
    </cfRule>
    <cfRule type="cellIs" dxfId="39" priority="57" operator="lessThan">
      <formula>0</formula>
    </cfRule>
  </conditionalFormatting>
  <conditionalFormatting sqref="M11">
    <cfRule type="cellIs" dxfId="38" priority="52" operator="greaterThan">
      <formula>20</formula>
    </cfRule>
    <cfRule type="cellIs" dxfId="37" priority="53" operator="between">
      <formula>0</formula>
      <formula>20</formula>
    </cfRule>
    <cfRule type="cellIs" dxfId="36" priority="54" operator="lessThan">
      <formula>0</formula>
    </cfRule>
  </conditionalFormatting>
  <conditionalFormatting sqref="M13">
    <cfRule type="cellIs" dxfId="35" priority="49" operator="greaterThan">
      <formula>20%</formula>
    </cfRule>
    <cfRule type="cellIs" dxfId="34" priority="50" operator="between">
      <formula>0</formula>
      <formula>20</formula>
    </cfRule>
    <cfRule type="cellIs" dxfId="33" priority="51" operator="lessThan">
      <formula>0</formula>
    </cfRule>
  </conditionalFormatting>
  <conditionalFormatting sqref="M15">
    <cfRule type="cellIs" dxfId="32" priority="46" operator="greaterThan">
      <formula>20</formula>
    </cfRule>
    <cfRule type="cellIs" dxfId="31" priority="47" operator="between">
      <formula>0</formula>
      <formula>20</formula>
    </cfRule>
    <cfRule type="cellIs" dxfId="30" priority="48" operator="lessThan">
      <formula>0</formula>
    </cfRule>
  </conditionalFormatting>
  <conditionalFormatting sqref="P9">
    <cfRule type="cellIs" dxfId="29" priority="43" operator="greaterThan">
      <formula>20</formula>
    </cfRule>
    <cfRule type="cellIs" dxfId="28" priority="44" operator="between">
      <formula>0</formula>
      <formula>20</formula>
    </cfRule>
    <cfRule type="cellIs" dxfId="27" priority="45" operator="lessThan">
      <formula>0</formula>
    </cfRule>
  </conditionalFormatting>
  <conditionalFormatting sqref="P11">
    <cfRule type="cellIs" dxfId="26" priority="19" operator="greaterThan">
      <formula>20</formula>
    </cfRule>
    <cfRule type="cellIs" dxfId="25" priority="20" operator="between">
      <formula>0</formula>
      <formula>20</formula>
    </cfRule>
    <cfRule type="cellIs" dxfId="24" priority="21" operator="lessThan">
      <formula>0</formula>
    </cfRule>
  </conditionalFormatting>
  <conditionalFormatting sqref="P13">
    <cfRule type="cellIs" dxfId="23" priority="16" operator="greaterThan">
      <formula>20</formula>
    </cfRule>
    <cfRule type="cellIs" dxfId="22" priority="17" operator="between">
      <formula>0</formula>
      <formula>20</formula>
    </cfRule>
    <cfRule type="cellIs" dxfId="21" priority="18" operator="lessThan">
      <formula>0</formula>
    </cfRule>
  </conditionalFormatting>
  <conditionalFormatting sqref="P15">
    <cfRule type="cellIs" dxfId="20" priority="13" operator="greaterThan">
      <formula>20</formula>
    </cfRule>
    <cfRule type="cellIs" dxfId="19" priority="14" operator="between">
      <formula>0</formula>
      <formula>20</formula>
    </cfRule>
    <cfRule type="cellIs" dxfId="18" priority="15" operator="lessThan">
      <formula>0</formula>
    </cfRule>
  </conditionalFormatting>
  <conditionalFormatting sqref="R9">
    <cfRule type="cellIs" dxfId="17" priority="10" operator="greaterThan">
      <formula>20</formula>
    </cfRule>
    <cfRule type="cellIs" dxfId="16" priority="11" operator="between">
      <formula>0</formula>
      <formula>20</formula>
    </cfRule>
    <cfRule type="cellIs" dxfId="15" priority="12" operator="lessThan">
      <formula>0</formula>
    </cfRule>
  </conditionalFormatting>
  <conditionalFormatting sqref="R11">
    <cfRule type="cellIs" dxfId="14" priority="7" operator="greaterThan">
      <formula>20</formula>
    </cfRule>
    <cfRule type="cellIs" dxfId="13" priority="8" operator="between">
      <formula>0</formula>
      <formula>20</formula>
    </cfRule>
    <cfRule type="cellIs" dxfId="12" priority="9" operator="lessThan">
      <formula>0</formula>
    </cfRule>
  </conditionalFormatting>
  <conditionalFormatting sqref="R13">
    <cfRule type="cellIs" dxfId="11" priority="4" operator="greaterThan">
      <formula>20</formula>
    </cfRule>
    <cfRule type="cellIs" dxfId="10" priority="5" operator="between">
      <formula>0</formula>
      <formula>20</formula>
    </cfRule>
    <cfRule type="cellIs" dxfId="9" priority="6" operator="lessThan">
      <formula>0</formula>
    </cfRule>
  </conditionalFormatting>
  <conditionalFormatting sqref="R15">
    <cfRule type="cellIs" dxfId="8" priority="1" operator="greaterThan">
      <formula>20</formula>
    </cfRule>
    <cfRule type="cellIs" dxfId="7" priority="2" operator="between">
      <formula>0</formula>
      <formula>20</formula>
    </cfRule>
    <cfRule type="cellIs" dxfId="6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6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dimension ref="A1:AS30"/>
  <sheetViews>
    <sheetView showGridLines="0" topLeftCell="L1" zoomScale="80" zoomScaleNormal="80" workbookViewId="0">
      <selection activeCell="AF6" sqref="AF6:AQ6"/>
    </sheetView>
  </sheetViews>
  <sheetFormatPr baseColWidth="10" defaultRowHeight="14.5" outlineLevelRow="1" outlineLevelCol="1" x14ac:dyDescent="0.35"/>
  <cols>
    <col min="1" max="1" width="25.54296875" bestFit="1" customWidth="1"/>
    <col min="2" max="13" width="10.90625" customWidth="1" outlineLevel="1"/>
    <col min="15" max="15" width="3.36328125" customWidth="1"/>
    <col min="16" max="16" width="25.54296875" bestFit="1" customWidth="1"/>
    <col min="30" max="30" width="2.36328125" customWidth="1"/>
    <col min="31" max="31" width="25.54296875" bestFit="1" customWidth="1"/>
  </cols>
  <sheetData>
    <row r="1" spans="1:45" x14ac:dyDescent="0.35">
      <c r="B1" s="12">
        <v>1</v>
      </c>
      <c r="C1" s="12">
        <v>1</v>
      </c>
      <c r="D1" s="12">
        <v>1</v>
      </c>
      <c r="E1" s="12">
        <v>1</v>
      </c>
      <c r="F1" s="12">
        <v>1</v>
      </c>
      <c r="G1" s="12">
        <v>1</v>
      </c>
      <c r="H1" s="12">
        <v>1</v>
      </c>
      <c r="I1" s="12">
        <v>1</v>
      </c>
      <c r="J1" s="12">
        <v>1</v>
      </c>
      <c r="K1" s="12">
        <v>1</v>
      </c>
      <c r="L1" s="12">
        <v>1</v>
      </c>
      <c r="M1" s="12">
        <v>1</v>
      </c>
      <c r="N1" s="13"/>
      <c r="Q1" s="12">
        <f>IF('Análisis Datos'!$G$8="Enero",1,IF('Análisis Datos'!$G$8="Febrero",1,IF('Análisis Datos'!$G$8="Marzo",1,IF('Análisis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Datos'!$G$8="Diciembre",1,0))))))))))))</f>
        <v>1</v>
      </c>
      <c r="R1" s="12">
        <f>IF('Análisis Datos'!$G$8="Febrero",1,IF('Análisis Datos'!$G$8="Marzo",1,IF('Análisis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Datos'!$G$8="Diciembre",1,0)))))))))))</f>
        <v>1</v>
      </c>
      <c r="S1" s="12">
        <f>IF('Análisis Datos'!$G$8="Marzo",1,IF('Análisis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Datos'!$G$8="Diciembre",1,0))))))))))</f>
        <v>1</v>
      </c>
      <c r="T1" s="12">
        <f>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</f>
        <v>0</v>
      </c>
      <c r="U1" s="12">
        <f>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</f>
        <v>0</v>
      </c>
      <c r="V1" s="12">
        <f>IF('Análisis Datos'!$G$8="Junio",1,IF('Análisis Datos'!$G$8="Julio",1,IF('Análisis Datos'!$G$8="Agosto",1,IF('Análisis Datos'!$G$8="Septiembre",1,IF('Análisis Datos'!$G$8="Octubre",1,IF('Análisis Datos'!$G$8="Noviembre",1,IF('Análisis Datos'!$G$8="Diciembre",1,0)))))))</f>
        <v>0</v>
      </c>
      <c r="W1" s="12">
        <f>IF('Análisis Datos'!$G$8="Julio",1,IF('Análisis Datos'!$G$8="Agosto",1,IF('Análisis Datos'!$G$8="Septiembre",1,IF('Análisis Datos'!$G$8="Octubre",1,IF('Análisis Datos'!$G$8="Noviembre",1,IF('Análisis Datos'!$G$8="Diciembre",1,0))))))</f>
        <v>0</v>
      </c>
      <c r="X1" s="12">
        <f>IF('Análisis Datos'!$G$8="Agosto",1,IF('Análisis Datos'!$G$8="Septiembre",1,IF('Análisis Datos'!$G$8="Octubre",1,IF('Análisis Datos'!$G$8="Noviembre",1,IF('Análisis Datos'!$G$8="Diciembre",1,0)))))</f>
        <v>0</v>
      </c>
      <c r="Y1" s="12">
        <f>IF('Análisis Datos'!$G$8="Septiembre",1,IF('Análisis Datos'!$G$8="Octubre",1,IF('Análisis Datos'!$G$8="Noviembre",1,IF('Análisis Datos'!$G$8="Diciembre",1,0))))</f>
        <v>0</v>
      </c>
      <c r="Z1" s="12">
        <f>IF('Análisis Datos'!$G$8="Octubre",1,IF('Análisis Datos'!$G$8="Noviembre",1,IF('Análisis Datos'!$G$8="Diciembre",1,0)))</f>
        <v>0</v>
      </c>
      <c r="AA1" s="12">
        <f>IF('Análisis Datos'!$G$8="Noviembre",1,IF('Análisis Datos'!$G$8="Diciembre",1,0))</f>
        <v>0</v>
      </c>
      <c r="AB1" s="12">
        <f>IF('Análisis Datos'!$G$8="Noviembre",1,IF('Análisis Datos'!$G$8="Diciembre",1,0))</f>
        <v>0</v>
      </c>
      <c r="AC1" s="13"/>
    </row>
    <row r="2" spans="1:45" x14ac:dyDescent="0.35">
      <c r="A2" s="58">
        <v>2018</v>
      </c>
      <c r="B2" s="58" t="s">
        <v>42</v>
      </c>
      <c r="C2" s="58" t="s">
        <v>43</v>
      </c>
      <c r="D2" s="58" t="s">
        <v>44</v>
      </c>
      <c r="E2" s="58" t="s">
        <v>45</v>
      </c>
      <c r="F2" s="58" t="s">
        <v>46</v>
      </c>
      <c r="G2" s="58" t="s">
        <v>47</v>
      </c>
      <c r="H2" s="58" t="s">
        <v>48</v>
      </c>
      <c r="I2" s="58" t="s">
        <v>49</v>
      </c>
      <c r="J2" s="58" t="s">
        <v>50</v>
      </c>
      <c r="K2" s="58" t="s">
        <v>51</v>
      </c>
      <c r="L2" s="58" t="s">
        <v>52</v>
      </c>
      <c r="M2" s="58" t="s">
        <v>53</v>
      </c>
      <c r="N2" s="58" t="s">
        <v>6</v>
      </c>
      <c r="P2" s="14">
        <v>2019</v>
      </c>
      <c r="Q2" s="14" t="s">
        <v>42</v>
      </c>
      <c r="R2" s="14" t="s">
        <v>43</v>
      </c>
      <c r="S2" s="14" t="s">
        <v>44</v>
      </c>
      <c r="T2" s="14" t="s">
        <v>45</v>
      </c>
      <c r="U2" s="14" t="s">
        <v>46</v>
      </c>
      <c r="V2" s="14" t="s">
        <v>47</v>
      </c>
      <c r="W2" s="14" t="s">
        <v>48</v>
      </c>
      <c r="X2" s="14" t="s">
        <v>49</v>
      </c>
      <c r="Y2" s="14" t="s">
        <v>50</v>
      </c>
      <c r="Z2" s="14" t="s">
        <v>51</v>
      </c>
      <c r="AA2" s="14" t="s">
        <v>52</v>
      </c>
      <c r="AB2" s="14" t="s">
        <v>53</v>
      </c>
      <c r="AC2" s="14" t="s">
        <v>6</v>
      </c>
      <c r="AE2" s="69" t="s">
        <v>121</v>
      </c>
      <c r="AF2" s="69" t="s">
        <v>42</v>
      </c>
      <c r="AG2" s="69" t="s">
        <v>43</v>
      </c>
      <c r="AH2" s="69" t="s">
        <v>44</v>
      </c>
      <c r="AI2" s="69" t="s">
        <v>45</v>
      </c>
      <c r="AJ2" s="69" t="s">
        <v>46</v>
      </c>
      <c r="AK2" s="69" t="s">
        <v>47</v>
      </c>
      <c r="AL2" s="69" t="s">
        <v>48</v>
      </c>
      <c r="AM2" s="69" t="s">
        <v>49</v>
      </c>
      <c r="AN2" s="69" t="s">
        <v>50</v>
      </c>
      <c r="AO2" s="69" t="s">
        <v>51</v>
      </c>
      <c r="AP2" s="69" t="s">
        <v>52</v>
      </c>
      <c r="AQ2" s="69" t="s">
        <v>53</v>
      </c>
      <c r="AR2" s="69" t="s">
        <v>6</v>
      </c>
    </row>
    <row r="3" spans="1:45" x14ac:dyDescent="0.35">
      <c r="A3" s="59" t="s">
        <v>67</v>
      </c>
      <c r="B3" s="60">
        <v>32579.17</v>
      </c>
      <c r="C3" s="60">
        <v>29189.389999999996</v>
      </c>
      <c r="D3" s="60">
        <v>47690.289999999994</v>
      </c>
      <c r="E3" s="60">
        <v>47464.07</v>
      </c>
      <c r="F3" s="60">
        <v>32929.94</v>
      </c>
      <c r="G3" s="60">
        <v>24244.12</v>
      </c>
      <c r="H3" s="60">
        <v>42547.55</v>
      </c>
      <c r="I3" s="60">
        <v>12974.86</v>
      </c>
      <c r="J3" s="60">
        <v>22140.6</v>
      </c>
      <c r="K3" s="60">
        <v>18703.25</v>
      </c>
      <c r="L3" s="60">
        <v>27978.100000000002</v>
      </c>
      <c r="M3" s="60">
        <v>37262.620000000003</v>
      </c>
      <c r="N3" s="61">
        <v>375703.9599999999</v>
      </c>
      <c r="P3" s="23" t="s">
        <v>67</v>
      </c>
      <c r="Q3" s="31">
        <f>Q4</f>
        <v>11846.28</v>
      </c>
      <c r="R3" s="31">
        <f t="shared" ref="R3:AB3" si="0">R4</f>
        <v>25168.100000000002</v>
      </c>
      <c r="S3" s="31">
        <f t="shared" si="0"/>
        <v>36172.620000000003</v>
      </c>
      <c r="T3" s="31">
        <f t="shared" si="0"/>
        <v>0</v>
      </c>
      <c r="U3" s="31">
        <f t="shared" si="0"/>
        <v>0</v>
      </c>
      <c r="V3" s="31">
        <f t="shared" si="0"/>
        <v>0</v>
      </c>
      <c r="W3" s="31">
        <f t="shared" si="0"/>
        <v>0</v>
      </c>
      <c r="X3" s="31">
        <f t="shared" si="0"/>
        <v>0</v>
      </c>
      <c r="Y3" s="31">
        <f t="shared" si="0"/>
        <v>0</v>
      </c>
      <c r="Z3" s="31">
        <f t="shared" si="0"/>
        <v>0</v>
      </c>
      <c r="AA3" s="31">
        <f t="shared" si="0"/>
        <v>0</v>
      </c>
      <c r="AB3" s="31">
        <f t="shared" si="0"/>
        <v>0</v>
      </c>
      <c r="AC3" s="32">
        <f t="shared" ref="AC3:AC4" si="1">SUM(Q3:AB3)</f>
        <v>73187</v>
      </c>
      <c r="AE3" s="70" t="s">
        <v>67</v>
      </c>
      <c r="AF3" s="71">
        <f>AF4</f>
        <v>50000</v>
      </c>
      <c r="AG3" s="71">
        <f t="shared" ref="AG3:AQ3" si="2">AG4</f>
        <v>50000</v>
      </c>
      <c r="AH3" s="71">
        <f t="shared" si="2"/>
        <v>50000</v>
      </c>
      <c r="AI3" s="71">
        <f t="shared" si="2"/>
        <v>50000</v>
      </c>
      <c r="AJ3" s="71">
        <f t="shared" si="2"/>
        <v>50000</v>
      </c>
      <c r="AK3" s="71">
        <f t="shared" si="2"/>
        <v>50000</v>
      </c>
      <c r="AL3" s="71">
        <f t="shared" si="2"/>
        <v>50000</v>
      </c>
      <c r="AM3" s="71">
        <f t="shared" si="2"/>
        <v>50000</v>
      </c>
      <c r="AN3" s="71">
        <f t="shared" si="2"/>
        <v>50000</v>
      </c>
      <c r="AO3" s="71">
        <f t="shared" si="2"/>
        <v>50000</v>
      </c>
      <c r="AP3" s="71">
        <f t="shared" si="2"/>
        <v>50000</v>
      </c>
      <c r="AQ3" s="71">
        <f t="shared" si="2"/>
        <v>50000</v>
      </c>
      <c r="AR3" s="72">
        <f t="shared" ref="AR3:AR4" si="3">SUM(AF3:AQ3)</f>
        <v>600000</v>
      </c>
      <c r="AS3" s="98">
        <v>600000</v>
      </c>
    </row>
    <row r="4" spans="1:45" x14ac:dyDescent="0.35">
      <c r="A4" s="33" t="s">
        <v>75</v>
      </c>
      <c r="B4" s="34">
        <v>25020.699999999997</v>
      </c>
      <c r="C4" s="34">
        <v>25439.389999999996</v>
      </c>
      <c r="D4" s="34">
        <v>37558.479999999996</v>
      </c>
      <c r="E4" s="34">
        <v>44713.5</v>
      </c>
      <c r="F4" s="34">
        <v>28456.09</v>
      </c>
      <c r="G4" s="34">
        <v>17300.64</v>
      </c>
      <c r="H4" s="34">
        <v>31942.55</v>
      </c>
      <c r="I4" s="34">
        <v>10975.36</v>
      </c>
      <c r="J4" s="34">
        <v>17111.66</v>
      </c>
      <c r="K4" s="34">
        <v>11846.28</v>
      </c>
      <c r="L4" s="34">
        <v>25168.100000000002</v>
      </c>
      <c r="M4" s="34">
        <v>36172.620000000003</v>
      </c>
      <c r="N4" s="34">
        <v>311705.36999999994</v>
      </c>
      <c r="P4" s="33" t="s">
        <v>75</v>
      </c>
      <c r="Q4" s="34">
        <f>SUMIFS(Facturas!$D$2:$D$640,Facturas!$B$2:$B$640,'Cta Resultados'!Q2)</f>
        <v>11846.28</v>
      </c>
      <c r="R4" s="34">
        <f>SUMIFS(Facturas!$D$2:$D$640,Facturas!$B$2:$B$640,'Cta Resultados'!R2)</f>
        <v>25168.100000000002</v>
      </c>
      <c r="S4" s="34">
        <f>SUMIFS(Facturas!$D$2:$D$640,Facturas!$B$2:$B$640,'Cta Resultados'!S2)</f>
        <v>36172.620000000003</v>
      </c>
      <c r="T4" s="34">
        <f>SUMIFS(Facturas!$D$2:$D$640,Facturas!$B$2:$B$640,'Cta Resultados'!T2)</f>
        <v>0</v>
      </c>
      <c r="U4" s="34">
        <f>SUMIFS(Facturas!$D$2:$D$640,Facturas!$B$2:$B$640,'Cta Resultados'!U2)</f>
        <v>0</v>
      </c>
      <c r="V4" s="34">
        <f>SUMIFS(Facturas!$D$2:$D$640,Facturas!$B$2:$B$640,'Cta Resultados'!V2)</f>
        <v>0</v>
      </c>
      <c r="W4" s="34">
        <f>SUMIFS(Facturas!$D$2:$D$640,Facturas!$B$2:$B$640,'Cta Resultados'!W2)</f>
        <v>0</v>
      </c>
      <c r="X4" s="34">
        <f>SUMIFS(Facturas!$D$2:$D$640,Facturas!$B$2:$B$640,'Cta Resultados'!X2)</f>
        <v>0</v>
      </c>
      <c r="Y4" s="34">
        <f>SUMIFS(Facturas!$D$2:$D$640,Facturas!$B$2:$B$640,'Cta Resultados'!Y2)</f>
        <v>0</v>
      </c>
      <c r="Z4" s="34">
        <f>SUMIFS(Facturas!$D$2:$D$640,Facturas!$B$2:$B$640,'Cta Resultados'!Z2)</f>
        <v>0</v>
      </c>
      <c r="AA4" s="34">
        <f>SUMIFS(Facturas!$D$2:$D$640,Facturas!$B$2:$B$640,'Cta Resultados'!AA2)</f>
        <v>0</v>
      </c>
      <c r="AB4" s="34">
        <f>SUMIFS(Facturas!$D$2:$D$640,Facturas!$B$2:$B$640,'Cta Resultados'!AB2)</f>
        <v>0</v>
      </c>
      <c r="AC4" s="34">
        <f t="shared" si="1"/>
        <v>73187</v>
      </c>
      <c r="AE4" s="33" t="s">
        <v>75</v>
      </c>
      <c r="AF4" s="34">
        <f>$AS$3/12</f>
        <v>50000</v>
      </c>
      <c r="AG4" s="34">
        <f t="shared" ref="AG4:AQ4" si="4">$AS$3/12</f>
        <v>50000</v>
      </c>
      <c r="AH4" s="34">
        <f t="shared" si="4"/>
        <v>50000</v>
      </c>
      <c r="AI4" s="34">
        <f t="shared" si="4"/>
        <v>50000</v>
      </c>
      <c r="AJ4" s="34">
        <f t="shared" si="4"/>
        <v>50000</v>
      </c>
      <c r="AK4" s="34">
        <f t="shared" si="4"/>
        <v>50000</v>
      </c>
      <c r="AL4" s="34">
        <f t="shared" si="4"/>
        <v>50000</v>
      </c>
      <c r="AM4" s="34">
        <f t="shared" si="4"/>
        <v>50000</v>
      </c>
      <c r="AN4" s="34">
        <f t="shared" si="4"/>
        <v>50000</v>
      </c>
      <c r="AO4" s="34">
        <f t="shared" si="4"/>
        <v>50000</v>
      </c>
      <c r="AP4" s="34">
        <f t="shared" si="4"/>
        <v>50000</v>
      </c>
      <c r="AQ4" s="34">
        <f t="shared" si="4"/>
        <v>50000</v>
      </c>
      <c r="AR4" s="34">
        <f t="shared" si="3"/>
        <v>600000</v>
      </c>
    </row>
    <row r="5" spans="1:45" x14ac:dyDescent="0.3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P5" s="19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9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5" x14ac:dyDescent="0.35">
      <c r="A6" s="59" t="s">
        <v>68</v>
      </c>
      <c r="B6" s="60">
        <v>18627.760000000002</v>
      </c>
      <c r="C6" s="60">
        <v>16645.587</v>
      </c>
      <c r="D6" s="60">
        <v>20332.28</v>
      </c>
      <c r="E6" s="60">
        <v>19107.696</v>
      </c>
      <c r="F6" s="60">
        <v>17948.393</v>
      </c>
      <c r="G6" s="60">
        <v>17746.545999999998</v>
      </c>
      <c r="H6" s="60">
        <v>16617.503000000001</v>
      </c>
      <c r="I6" s="60">
        <v>16960.105</v>
      </c>
      <c r="J6" s="60">
        <v>16050.833000000001</v>
      </c>
      <c r="K6" s="60">
        <v>19552.044999999998</v>
      </c>
      <c r="L6" s="60">
        <v>19458.738842975206</v>
      </c>
      <c r="M6" s="60">
        <v>18613.261999999999</v>
      </c>
      <c r="N6" s="61">
        <v>217660.74884297521</v>
      </c>
      <c r="P6" s="35" t="s">
        <v>68</v>
      </c>
      <c r="Q6" s="36">
        <f>Q7+Q8</f>
        <v>12752.045</v>
      </c>
      <c r="R6" s="36">
        <f t="shared" ref="R6:AB6" si="5">R7+R8</f>
        <v>12208.738842975206</v>
      </c>
      <c r="S6" s="36">
        <f t="shared" si="5"/>
        <v>11813.261999999999</v>
      </c>
      <c r="T6" s="36">
        <f t="shared" si="5"/>
        <v>0</v>
      </c>
      <c r="U6" s="36">
        <f t="shared" si="5"/>
        <v>0</v>
      </c>
      <c r="V6" s="36">
        <f t="shared" si="5"/>
        <v>0</v>
      </c>
      <c r="W6" s="36">
        <f t="shared" si="5"/>
        <v>0</v>
      </c>
      <c r="X6" s="36">
        <f t="shared" si="5"/>
        <v>0</v>
      </c>
      <c r="Y6" s="36">
        <f t="shared" si="5"/>
        <v>0</v>
      </c>
      <c r="Z6" s="36">
        <f t="shared" si="5"/>
        <v>0</v>
      </c>
      <c r="AA6" s="36">
        <f t="shared" si="5"/>
        <v>0</v>
      </c>
      <c r="AB6" s="36">
        <f t="shared" si="5"/>
        <v>0</v>
      </c>
      <c r="AC6" s="32">
        <f t="shared" ref="AC6:AC8" si="6">SUM(Q6:AB6)</f>
        <v>36774.045842975203</v>
      </c>
      <c r="AE6" s="70" t="s">
        <v>68</v>
      </c>
      <c r="AF6" s="71">
        <f>AF7+AF8</f>
        <v>0</v>
      </c>
      <c r="AG6" s="71">
        <f t="shared" ref="AG6:AQ6" si="7">AG7+AG8</f>
        <v>0</v>
      </c>
      <c r="AH6" s="71">
        <f t="shared" si="7"/>
        <v>0</v>
      </c>
      <c r="AI6" s="71">
        <f t="shared" si="7"/>
        <v>0</v>
      </c>
      <c r="AJ6" s="71">
        <f t="shared" si="7"/>
        <v>0</v>
      </c>
      <c r="AK6" s="71">
        <f t="shared" si="7"/>
        <v>0</v>
      </c>
      <c r="AL6" s="71">
        <f t="shared" si="7"/>
        <v>0</v>
      </c>
      <c r="AM6" s="71">
        <f t="shared" si="7"/>
        <v>0</v>
      </c>
      <c r="AN6" s="71">
        <f t="shared" si="7"/>
        <v>0</v>
      </c>
      <c r="AO6" s="71">
        <f t="shared" si="7"/>
        <v>0</v>
      </c>
      <c r="AP6" s="71">
        <f t="shared" si="7"/>
        <v>0</v>
      </c>
      <c r="AQ6" s="71">
        <f t="shared" si="7"/>
        <v>0</v>
      </c>
      <c r="AR6" s="72">
        <f t="shared" ref="AR6:AR8" si="8">SUM(AF6:AQ6)</f>
        <v>0</v>
      </c>
    </row>
    <row r="7" spans="1:45" x14ac:dyDescent="0.35">
      <c r="A7" s="33" t="s">
        <v>77</v>
      </c>
      <c r="B7" s="34">
        <v>4996.26</v>
      </c>
      <c r="C7" s="34">
        <v>4769.1000000000004</v>
      </c>
      <c r="D7" s="34">
        <v>4884.5599999999995</v>
      </c>
      <c r="E7" s="34">
        <v>5104.2299999999996</v>
      </c>
      <c r="F7" s="34">
        <v>5182.2800000000007</v>
      </c>
      <c r="G7" s="34">
        <v>5160.8099999999995</v>
      </c>
      <c r="H7" s="34">
        <v>5182.2800000000007</v>
      </c>
      <c r="I7" s="34">
        <v>5063.1400000000003</v>
      </c>
      <c r="J7" s="34">
        <v>4444.09</v>
      </c>
      <c r="K7" s="34">
        <v>4752.2</v>
      </c>
      <c r="L7" s="34">
        <v>5511.66</v>
      </c>
      <c r="M7" s="34">
        <v>6298.4699999999993</v>
      </c>
      <c r="N7" s="34">
        <v>61349.08</v>
      </c>
      <c r="P7" s="33" t="s">
        <v>77</v>
      </c>
      <c r="Q7" s="34">
        <f>SUMIFS('Gastos personal'!$S$2:$S$52,'Gastos personal'!$R$2:$R$52,'Cta Resultados'!Q2)</f>
        <v>4752.2</v>
      </c>
      <c r="R7" s="34">
        <f>SUMIFS('Gastos personal'!$S$2:$S$52,'Gastos personal'!$R$2:$R$52,'Cta Resultados'!R2)</f>
        <v>5061.66</v>
      </c>
      <c r="S7" s="34">
        <f>SUMIFS('Gastos personal'!$S$2:$S$52,'Gastos personal'!$R$2:$R$52,'Cta Resultados'!S2)</f>
        <v>6298.4699999999993</v>
      </c>
      <c r="T7" s="34">
        <f>SUMIFS('Gastos personal'!$S$2:$S$52,'Gastos personal'!$R$2:$R$52,'Cta Resultados'!T2)</f>
        <v>0</v>
      </c>
      <c r="U7" s="34">
        <f>SUMIFS('Gastos personal'!$S$2:$S$52,'Gastos personal'!$R$2:$R$52,'Cta Resultados'!U2)</f>
        <v>0</v>
      </c>
      <c r="V7" s="34">
        <f>SUMIFS('Gastos personal'!$S$2:$S$52,'Gastos personal'!$R$2:$R$52,'Cta Resultados'!V2)</f>
        <v>0</v>
      </c>
      <c r="W7" s="34">
        <f>SUMIFS('Gastos personal'!$S$2:$S$52,'Gastos personal'!$R$2:$R$52,'Cta Resultados'!W2)</f>
        <v>0</v>
      </c>
      <c r="X7" s="34">
        <f>SUMIFS('Gastos personal'!$S$2:$S$52,'Gastos personal'!$R$2:$R$52,'Cta Resultados'!X2)</f>
        <v>0</v>
      </c>
      <c r="Y7" s="34">
        <f>SUMIFS('Gastos personal'!$S$2:$S$52,'Gastos personal'!$R$2:$R$52,'Cta Resultados'!Y2)</f>
        <v>0</v>
      </c>
      <c r="Z7" s="34">
        <f>SUMIFS('Gastos personal'!$S$2:$S$52,'Gastos personal'!$R$2:$R$52,'Cta Resultados'!Z2)</f>
        <v>0</v>
      </c>
      <c r="AA7" s="34">
        <f>SUMIFS('Gastos personal'!$S$2:$S$52,'Gastos personal'!$R$2:$R$52,'Cta Resultados'!AA2)</f>
        <v>0</v>
      </c>
      <c r="AB7" s="34">
        <f>SUMIFS('Gastos personal'!$S$2:$S$52,'Gastos personal'!$R$2:$R$52,'Cta Resultados'!AB2)</f>
        <v>0</v>
      </c>
      <c r="AC7" s="34">
        <f t="shared" si="6"/>
        <v>16112.33</v>
      </c>
      <c r="AE7" s="33" t="s">
        <v>77</v>
      </c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>
        <f t="shared" si="8"/>
        <v>0</v>
      </c>
    </row>
    <row r="8" spans="1:45" x14ac:dyDescent="0.35">
      <c r="A8" s="33" t="s">
        <v>131</v>
      </c>
      <c r="B8" s="34">
        <v>6831.5</v>
      </c>
      <c r="C8" s="34">
        <v>5076.4870000000001</v>
      </c>
      <c r="D8" s="34">
        <v>8647.7200000000012</v>
      </c>
      <c r="E8" s="34">
        <v>7203.4659999999994</v>
      </c>
      <c r="F8" s="34">
        <v>5966.1130000000003</v>
      </c>
      <c r="G8" s="34">
        <v>5785.7359999999999</v>
      </c>
      <c r="H8" s="34">
        <v>4635.223</v>
      </c>
      <c r="I8" s="34">
        <v>5096.9649999999992</v>
      </c>
      <c r="J8" s="34">
        <v>4806.7430000000004</v>
      </c>
      <c r="K8" s="34">
        <v>7999.8450000000003</v>
      </c>
      <c r="L8" s="34">
        <v>7147.0788429752074</v>
      </c>
      <c r="M8" s="34">
        <v>5514.7919999999995</v>
      </c>
      <c r="N8" s="34">
        <v>74711.66884297521</v>
      </c>
      <c r="P8" s="33" t="s">
        <v>131</v>
      </c>
      <c r="Q8" s="34">
        <f>Comerciales!C6</f>
        <v>7999.8450000000003</v>
      </c>
      <c r="R8" s="34">
        <f>Comerciales!D6</f>
        <v>7147.0788429752074</v>
      </c>
      <c r="S8" s="34">
        <f>Comerciales!E6</f>
        <v>5514.7919999999995</v>
      </c>
      <c r="T8" s="34">
        <f>Comerciales!F6</f>
        <v>0</v>
      </c>
      <c r="U8" s="34">
        <f>Comerciales!G6</f>
        <v>0</v>
      </c>
      <c r="V8" s="34">
        <f>Comerciales!H6</f>
        <v>0</v>
      </c>
      <c r="W8" s="34">
        <f>Comerciales!I6</f>
        <v>0</v>
      </c>
      <c r="X8" s="34">
        <f>Comerciales!J6</f>
        <v>0</v>
      </c>
      <c r="Y8" s="34">
        <f>Comerciales!K6</f>
        <v>0</v>
      </c>
      <c r="Z8" s="34">
        <f>Comerciales!L6</f>
        <v>0</v>
      </c>
      <c r="AA8" s="34">
        <f>Comerciales!M6</f>
        <v>0</v>
      </c>
      <c r="AB8" s="34">
        <f>Comerciales!N6</f>
        <v>0</v>
      </c>
      <c r="AC8" s="34">
        <f t="shared" si="6"/>
        <v>20661.715842975209</v>
      </c>
      <c r="AE8" s="33" t="s">
        <v>131</v>
      </c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>
        <f t="shared" si="8"/>
        <v>0</v>
      </c>
    </row>
    <row r="9" spans="1:45" x14ac:dyDescent="0.35">
      <c r="A9" s="48" t="s">
        <v>107</v>
      </c>
      <c r="B9" s="29">
        <v>0.57176901682885117</v>
      </c>
      <c r="C9" s="29">
        <v>0.57026155736724893</v>
      </c>
      <c r="D9" s="29">
        <v>0.42634003693414324</v>
      </c>
      <c r="E9" s="29">
        <v>0.4025717979937245</v>
      </c>
      <c r="F9" s="29">
        <v>0.54504785007200129</v>
      </c>
      <c r="G9" s="29">
        <v>0.73199381953232368</v>
      </c>
      <c r="H9" s="29">
        <v>0.39056309940290335</v>
      </c>
      <c r="I9" s="29">
        <v>1.3071512910351248</v>
      </c>
      <c r="J9" s="29">
        <v>0.72495022718444857</v>
      </c>
      <c r="K9" s="29">
        <v>1.0453822196677047</v>
      </c>
      <c r="L9" s="29">
        <v>0.69549893820435282</v>
      </c>
      <c r="M9" s="29">
        <v>0.49951565402540127</v>
      </c>
      <c r="N9" s="29">
        <v>0.57934110900235192</v>
      </c>
      <c r="P9" s="48" t="s">
        <v>107</v>
      </c>
      <c r="Q9" s="29">
        <f>Q6/Q3</f>
        <v>1.0764598675702415</v>
      </c>
      <c r="R9" s="29">
        <f>R6/R3</f>
        <v>0.48508782319583937</v>
      </c>
      <c r="S9" s="29">
        <f>S6/S3</f>
        <v>0.3265802145379571</v>
      </c>
      <c r="T9" s="29" t="e">
        <f>T6/T3</f>
        <v>#DIV/0!</v>
      </c>
      <c r="U9" s="29" t="e">
        <f>U6/U3</f>
        <v>#DIV/0!</v>
      </c>
      <c r="V9" s="29" t="e">
        <f>V6/V3</f>
        <v>#DIV/0!</v>
      </c>
      <c r="W9" s="29" t="e">
        <f>W6/W3</f>
        <v>#DIV/0!</v>
      </c>
      <c r="X9" s="29" t="e">
        <f>X6/X3</f>
        <v>#DIV/0!</v>
      </c>
      <c r="Y9" s="29" t="e">
        <f>Y6/Y3</f>
        <v>#DIV/0!</v>
      </c>
      <c r="Z9" s="29" t="e">
        <f>Z6/Z3</f>
        <v>#DIV/0!</v>
      </c>
      <c r="AA9" s="29" t="e">
        <f>AA6/AA3</f>
        <v>#DIV/0!</v>
      </c>
      <c r="AB9" s="29" t="e">
        <f>AB6/AB3</f>
        <v>#DIV/0!</v>
      </c>
      <c r="AC9" s="29">
        <f>AC6/AC3</f>
        <v>0.50246691137736488</v>
      </c>
      <c r="AE9" s="48" t="s">
        <v>107</v>
      </c>
      <c r="AF9" s="29">
        <f>AF6/AF3</f>
        <v>0</v>
      </c>
      <c r="AG9" s="29">
        <f>AG6/AG3</f>
        <v>0</v>
      </c>
      <c r="AH9" s="29">
        <f>AH6/AH3</f>
        <v>0</v>
      </c>
      <c r="AI9" s="29">
        <f>AI6/AI3</f>
        <v>0</v>
      </c>
      <c r="AJ9" s="29">
        <f>AJ6/AJ3</f>
        <v>0</v>
      </c>
      <c r="AK9" s="29">
        <f>AK6/AK3</f>
        <v>0</v>
      </c>
      <c r="AL9" s="29">
        <f>AL6/AL3</f>
        <v>0</v>
      </c>
      <c r="AM9" s="29">
        <f>AM6/AM3</f>
        <v>0</v>
      </c>
      <c r="AN9" s="29">
        <f>AN6/AN3</f>
        <v>0</v>
      </c>
      <c r="AO9" s="29">
        <f>AO6/AO3</f>
        <v>0</v>
      </c>
      <c r="AP9" s="29">
        <f>AP6/AP3</f>
        <v>0</v>
      </c>
      <c r="AQ9" s="29">
        <f>AQ6/AQ3</f>
        <v>0</v>
      </c>
      <c r="AR9" s="29">
        <f>AR6/AR3</f>
        <v>0</v>
      </c>
    </row>
    <row r="10" spans="1:45" ht="7" customHeight="1" x14ac:dyDescent="0.35">
      <c r="A10" s="21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0"/>
      <c r="P10" s="21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0"/>
      <c r="AE10" s="21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0"/>
    </row>
    <row r="11" spans="1:45" x14ac:dyDescent="0.35">
      <c r="A11" s="62" t="s">
        <v>69</v>
      </c>
      <c r="B11" s="63">
        <v>13917.15</v>
      </c>
      <c r="C11" s="63">
        <v>12469.94</v>
      </c>
      <c r="D11" s="63">
        <v>14488.309999999998</v>
      </c>
      <c r="E11" s="63">
        <v>12825.18</v>
      </c>
      <c r="F11" s="63">
        <v>16289.15</v>
      </c>
      <c r="G11" s="63">
        <v>17815.895</v>
      </c>
      <c r="H11" s="63">
        <v>10963.97</v>
      </c>
      <c r="I11" s="63">
        <v>8568.69</v>
      </c>
      <c r="J11" s="63">
        <v>9324.74</v>
      </c>
      <c r="K11" s="63">
        <v>10132.449999999999</v>
      </c>
      <c r="L11" s="63">
        <v>14386.08</v>
      </c>
      <c r="M11" s="63">
        <v>22539.125</v>
      </c>
      <c r="N11" s="64">
        <v>163720.68</v>
      </c>
      <c r="P11" s="42" t="s">
        <v>69</v>
      </c>
      <c r="Q11" s="43">
        <f>SUM(Q12:Q18)</f>
        <v>8908.4499999999989</v>
      </c>
      <c r="R11" s="43">
        <f>SUM(R12:R18)</f>
        <v>13200.58</v>
      </c>
      <c r="S11" s="43">
        <f>SUM(S12:S18)</f>
        <v>18176.514999999999</v>
      </c>
      <c r="T11" s="43">
        <f>SUM(T12:T18)</f>
        <v>0</v>
      </c>
      <c r="U11" s="43">
        <f>SUM(U12:U18)</f>
        <v>0</v>
      </c>
      <c r="V11" s="43">
        <f>SUM(V12:V18)</f>
        <v>0</v>
      </c>
      <c r="W11" s="43">
        <f>SUM(W12:W18)</f>
        <v>0</v>
      </c>
      <c r="X11" s="43">
        <f>SUM(X12:X18)</f>
        <v>0</v>
      </c>
      <c r="Y11" s="43">
        <f>SUM(Y12:Y18)</f>
        <v>0</v>
      </c>
      <c r="Z11" s="43">
        <f>SUM(Z12:Z18)</f>
        <v>0</v>
      </c>
      <c r="AA11" s="43">
        <f>SUM(AA12:AA18)</f>
        <v>0</v>
      </c>
      <c r="AB11" s="43">
        <f>SUM(AB12:AB18)</f>
        <v>0</v>
      </c>
      <c r="AC11" s="44">
        <f>SUM(Q11:AB11)</f>
        <v>40285.544999999998</v>
      </c>
      <c r="AE11" s="73" t="s">
        <v>69</v>
      </c>
      <c r="AF11" s="74">
        <f>SUM(AF12:AF18)</f>
        <v>0</v>
      </c>
      <c r="AG11" s="74">
        <f>SUM(AG12:AG18)</f>
        <v>0</v>
      </c>
      <c r="AH11" s="74">
        <f>SUM(AH12:AH18)</f>
        <v>0</v>
      </c>
      <c r="AI11" s="74">
        <f>SUM(AI12:AI18)</f>
        <v>0</v>
      </c>
      <c r="AJ11" s="74">
        <f>SUM(AJ12:AJ18)</f>
        <v>0</v>
      </c>
      <c r="AK11" s="74">
        <f>SUM(AK12:AK18)</f>
        <v>0</v>
      </c>
      <c r="AL11" s="74">
        <f>SUM(AL12:AL18)</f>
        <v>0</v>
      </c>
      <c r="AM11" s="74">
        <f>SUM(AM12:AM18)</f>
        <v>0</v>
      </c>
      <c r="AN11" s="74">
        <f>SUM(AN12:AN18)</f>
        <v>0</v>
      </c>
      <c r="AO11" s="74">
        <f>SUM(AO12:AO18)</f>
        <v>0</v>
      </c>
      <c r="AP11" s="74">
        <f>SUM(AP12:AP18)</f>
        <v>0</v>
      </c>
      <c r="AQ11" s="74">
        <f>SUM(AQ12:AQ18)</f>
        <v>0</v>
      </c>
      <c r="AR11" s="75">
        <f>SUM(AF11:AQ11)</f>
        <v>0</v>
      </c>
    </row>
    <row r="12" spans="1:45" outlineLevel="1" x14ac:dyDescent="0.35">
      <c r="A12" s="45" t="s">
        <v>120</v>
      </c>
      <c r="B12" s="46">
        <v>4000</v>
      </c>
      <c r="C12" s="46">
        <v>4000</v>
      </c>
      <c r="D12" s="46">
        <v>4000</v>
      </c>
      <c r="E12" s="46">
        <v>4000</v>
      </c>
      <c r="F12" s="46">
        <v>4000</v>
      </c>
      <c r="G12" s="46">
        <v>4000</v>
      </c>
      <c r="H12" s="46">
        <v>4000</v>
      </c>
      <c r="I12" s="46">
        <v>4000</v>
      </c>
      <c r="J12" s="46">
        <v>4000</v>
      </c>
      <c r="K12" s="46">
        <v>4000</v>
      </c>
      <c r="L12" s="46">
        <v>4000</v>
      </c>
      <c r="M12" s="46">
        <v>4000</v>
      </c>
      <c r="N12" s="34">
        <v>48000</v>
      </c>
      <c r="P12" s="45" t="s">
        <v>120</v>
      </c>
      <c r="Q12" s="46">
        <v>4000</v>
      </c>
      <c r="R12" s="46">
        <v>4000</v>
      </c>
      <c r="S12" s="46">
        <v>4000</v>
      </c>
      <c r="T12" s="46"/>
      <c r="U12" s="46"/>
      <c r="V12" s="46"/>
      <c r="W12" s="46"/>
      <c r="X12" s="46"/>
      <c r="Y12" s="46"/>
      <c r="Z12" s="46"/>
      <c r="AA12" s="46"/>
      <c r="AB12" s="46"/>
      <c r="AC12" s="32">
        <f>SUM(Q12:AB12)</f>
        <v>12000</v>
      </c>
      <c r="AE12" s="45" t="s">
        <v>120</v>
      </c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34">
        <f>SUM(AF12:AQ12)</f>
        <v>0</v>
      </c>
    </row>
    <row r="13" spans="1:45" outlineLevel="1" x14ac:dyDescent="0.35">
      <c r="A13" s="45" t="s">
        <v>87</v>
      </c>
      <c r="B13" s="46">
        <v>1968.9199999999996</v>
      </c>
      <c r="C13" s="46">
        <v>1859.7700000000002</v>
      </c>
      <c r="D13" s="46">
        <v>2493.3799999999997</v>
      </c>
      <c r="E13" s="46">
        <v>1949.32</v>
      </c>
      <c r="F13" s="46">
        <v>2433</v>
      </c>
      <c r="G13" s="46">
        <v>1892.6100000000001</v>
      </c>
      <c r="H13" s="46">
        <v>1899.0699999999997</v>
      </c>
      <c r="I13" s="46">
        <v>1429.04</v>
      </c>
      <c r="J13" s="46">
        <v>1543.5299999999997</v>
      </c>
      <c r="K13" s="46">
        <v>2614.8000000000002</v>
      </c>
      <c r="L13" s="46">
        <v>1686.1199999999997</v>
      </c>
      <c r="M13" s="46">
        <v>2829.27</v>
      </c>
      <c r="N13" s="34">
        <v>24598.829999999998</v>
      </c>
      <c r="P13" s="45" t="s">
        <v>87</v>
      </c>
      <c r="Q13" s="46">
        <f>SUMIFS(Gastos!$F$2:$F$164,Gastos!$D$2:$D$164,'Cta Resultados'!Q2,Gastos!$M$2:$M$164,'Cta Resultados'!$P$13)</f>
        <v>2614.8000000000002</v>
      </c>
      <c r="R13" s="46">
        <f>SUMIFS(Gastos!$F$2:$F$164,Gastos!$D$2:$D$164,'Cta Resultados'!R2,Gastos!$M$2:$M$164,'Cta Resultados'!$P$13)</f>
        <v>1686.1199999999997</v>
      </c>
      <c r="S13" s="46">
        <f>SUMIFS(Gastos!$F$2:$F$164,Gastos!$D$2:$D$164,'Cta Resultados'!S2,Gastos!$M$2:$M$164,'Cta Resultados'!$P$13)</f>
        <v>2829.27</v>
      </c>
      <c r="T13" s="46">
        <f>SUMIFS(Gastos!$F$2:$F$164,Gastos!$D$2:$D$164,'Cta Resultados'!T2,Gastos!$M$2:$M$164,'Cta Resultados'!$P$13)</f>
        <v>0</v>
      </c>
      <c r="U13" s="46">
        <f>SUMIFS(Gastos!$F$2:$F$164,Gastos!$D$2:$D$164,'Cta Resultados'!U2,Gastos!$M$2:$M$164,'Cta Resultados'!$P$13)</f>
        <v>0</v>
      </c>
      <c r="V13" s="46">
        <f>SUMIFS(Gastos!$F$2:$F$164,Gastos!$D$2:$D$164,'Cta Resultados'!V2,Gastos!$M$2:$M$164,'Cta Resultados'!$P$13)</f>
        <v>0</v>
      </c>
      <c r="W13" s="46">
        <f>SUMIFS(Gastos!$F$2:$F$164,Gastos!$D$2:$D$164,'Cta Resultados'!W2,Gastos!$M$2:$M$164,'Cta Resultados'!$P$13)</f>
        <v>0</v>
      </c>
      <c r="X13" s="46">
        <f>SUMIFS(Gastos!$F$2:$F$164,Gastos!$D$2:$D$164,'Cta Resultados'!X2,Gastos!$M$2:$M$164,'Cta Resultados'!$P$13)</f>
        <v>0</v>
      </c>
      <c r="Y13" s="46">
        <f>SUMIFS(Gastos!$F$2:$F$164,Gastos!$D$2:$D$164,'Cta Resultados'!Y2,Gastos!$M$2:$M$164,'Cta Resultados'!$P$13)</f>
        <v>0</v>
      </c>
      <c r="Z13" s="46">
        <f>SUMIFS(Gastos!$F$2:$F$164,Gastos!$D$2:$D$164,'Cta Resultados'!Z2,Gastos!$M$2:$M$164,'Cta Resultados'!$P$13)</f>
        <v>0</v>
      </c>
      <c r="AA13" s="46">
        <f>SUMIFS(Gastos!$F$2:$F$164,Gastos!$D$2:$D$164,'Cta Resultados'!AA2,Gastos!$M$2:$M$164,'Cta Resultados'!$P$13)</f>
        <v>0</v>
      </c>
      <c r="AB13" s="46">
        <f>SUMIFS(Gastos!$F$2:$F$164,Gastos!$D$2:$D$164,'Cta Resultados'!AB2,Gastos!$M$2:$M$164,'Cta Resultados'!$P$13)</f>
        <v>0</v>
      </c>
      <c r="AC13" s="32">
        <f t="shared" ref="AC13:AC18" si="9">SUM(Q13:AB13)</f>
        <v>7130.1900000000005</v>
      </c>
      <c r="AE13" s="45" t="s">
        <v>87</v>
      </c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34">
        <f t="shared" ref="AR13:AR18" si="10">SUM(AF13:AQ13)</f>
        <v>0</v>
      </c>
    </row>
    <row r="14" spans="1:45" outlineLevel="1" x14ac:dyDescent="0.35">
      <c r="A14" s="45" t="s">
        <v>89</v>
      </c>
      <c r="B14" s="46">
        <v>2639.14</v>
      </c>
      <c r="C14" s="46">
        <v>1732.32</v>
      </c>
      <c r="D14" s="46">
        <v>1146.3400000000001</v>
      </c>
      <c r="E14" s="46">
        <v>1741.79</v>
      </c>
      <c r="F14" s="46">
        <v>3528.26</v>
      </c>
      <c r="G14" s="46">
        <v>1422.07</v>
      </c>
      <c r="H14" s="46">
        <v>1746.4699999999998</v>
      </c>
      <c r="I14" s="46">
        <v>2648.5</v>
      </c>
      <c r="J14" s="46">
        <v>949.31</v>
      </c>
      <c r="K14" s="46">
        <v>1668.59</v>
      </c>
      <c r="L14" s="46">
        <v>2297.17</v>
      </c>
      <c r="M14" s="46">
        <v>3733.18</v>
      </c>
      <c r="N14" s="34">
        <v>25253.14</v>
      </c>
      <c r="P14" s="45" t="s">
        <v>89</v>
      </c>
      <c r="Q14" s="46">
        <f>SUMIFS(Gastos!$F$2:$F$164,Gastos!$D$2:$D$164,'Cta Resultados'!Q2,Gastos!$M$2:$M$164,'Cta Resultados'!$P$14)</f>
        <v>1668.59</v>
      </c>
      <c r="R14" s="46">
        <f>SUMIFS(Gastos!$F$2:$F$164,Gastos!$D$2:$D$164,'Cta Resultados'!R2,Gastos!$M$2:$M$164,'Cta Resultados'!$P$14)</f>
        <v>2297.17</v>
      </c>
      <c r="S14" s="46">
        <f>SUMIFS(Gastos!$F$2:$F$164,Gastos!$D$2:$D$164,'Cta Resultados'!S2,Gastos!$M$2:$M$164,'Cta Resultados'!$P$14)</f>
        <v>3733.18</v>
      </c>
      <c r="T14" s="46">
        <f>SUMIFS(Gastos!$F$2:$F$164,Gastos!$D$2:$D$164,'Cta Resultados'!T2,Gastos!$M$2:$M$164,'Cta Resultados'!$P$14)</f>
        <v>0</v>
      </c>
      <c r="U14" s="46">
        <f>SUMIFS(Gastos!$F$2:$F$164,Gastos!$D$2:$D$164,'Cta Resultados'!U2,Gastos!$M$2:$M$164,'Cta Resultados'!$P$14)</f>
        <v>0</v>
      </c>
      <c r="V14" s="46">
        <f>SUMIFS(Gastos!$F$2:$F$164,Gastos!$D$2:$D$164,'Cta Resultados'!V2,Gastos!$M$2:$M$164,'Cta Resultados'!$P$14)</f>
        <v>0</v>
      </c>
      <c r="W14" s="46">
        <f>SUMIFS(Gastos!$F$2:$F$164,Gastos!$D$2:$D$164,'Cta Resultados'!W2,Gastos!$M$2:$M$164,'Cta Resultados'!$P$14)</f>
        <v>0</v>
      </c>
      <c r="X14" s="46">
        <f>SUMIFS(Gastos!$F$2:$F$164,Gastos!$D$2:$D$164,'Cta Resultados'!X2,Gastos!$M$2:$M$164,'Cta Resultados'!$P$14)</f>
        <v>0</v>
      </c>
      <c r="Y14" s="46">
        <f>SUMIFS(Gastos!$F$2:$F$164,Gastos!$D$2:$D$164,'Cta Resultados'!Y2,Gastos!$M$2:$M$164,'Cta Resultados'!$P$14)</f>
        <v>0</v>
      </c>
      <c r="Z14" s="46">
        <f>SUMIFS(Gastos!$F$2:$F$164,Gastos!$D$2:$D$164,'Cta Resultados'!Z2,Gastos!$M$2:$M$164,'Cta Resultados'!$P$14)</f>
        <v>0</v>
      </c>
      <c r="AA14" s="46">
        <f>SUMIFS(Gastos!$F$2:$F$164,Gastos!$D$2:$D$164,'Cta Resultados'!AA2,Gastos!$M$2:$M$164,'Cta Resultados'!$P$14)</f>
        <v>0</v>
      </c>
      <c r="AB14" s="46">
        <f>SUMIFS(Gastos!$F$2:$F$164,Gastos!$D$2:$D$164,'Cta Resultados'!AB2,Gastos!$M$2:$M$164,'Cta Resultados'!$P$14)</f>
        <v>0</v>
      </c>
      <c r="AC14" s="32">
        <f t="shared" si="9"/>
        <v>7698.9400000000005</v>
      </c>
      <c r="AE14" s="45" t="s">
        <v>89</v>
      </c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34">
        <f t="shared" si="10"/>
        <v>0</v>
      </c>
    </row>
    <row r="15" spans="1:45" outlineLevel="1" x14ac:dyDescent="0.35">
      <c r="A15" s="45" t="s">
        <v>90</v>
      </c>
      <c r="B15" s="46">
        <v>2006.3500000000001</v>
      </c>
      <c r="C15" s="46">
        <v>1922.84</v>
      </c>
      <c r="D15" s="46">
        <v>2255.79</v>
      </c>
      <c r="E15" s="46">
        <v>332.56</v>
      </c>
      <c r="F15" s="46">
        <v>3214.2200000000003</v>
      </c>
      <c r="G15" s="46">
        <v>4581.1049999999996</v>
      </c>
      <c r="H15" s="46">
        <v>2126.4300000000003</v>
      </c>
      <c r="I15" s="46">
        <v>211.14999999999998</v>
      </c>
      <c r="J15" s="46">
        <v>2031.9</v>
      </c>
      <c r="K15" s="46">
        <v>525.06000000000006</v>
      </c>
      <c r="L15" s="46">
        <v>3699.2400000000002</v>
      </c>
      <c r="M15" s="46">
        <v>4418.0349999999999</v>
      </c>
      <c r="N15" s="34">
        <v>27324.680000000004</v>
      </c>
      <c r="P15" s="45" t="s">
        <v>90</v>
      </c>
      <c r="Q15" s="46">
        <f>SUMIFS(Gastos!$F$2:$F$164,Gastos!$D$2:$D$164,'Cta Resultados'!Q2,Gastos!$M$2:$M$164,'Cta Resultados'!$P$15)</f>
        <v>525.06000000000006</v>
      </c>
      <c r="R15" s="46">
        <f>SUMIFS(Gastos!$F$2:$F$164,Gastos!$D$2:$D$164,'Cta Resultados'!R2,Gastos!$M$2:$M$164,'Cta Resultados'!$P$15)</f>
        <v>3699.2400000000002</v>
      </c>
      <c r="S15" s="46">
        <f>SUMIFS(Gastos!$F$2:$F$164,Gastos!$D$2:$D$164,'Cta Resultados'!S2,Gastos!$M$2:$M$164,'Cta Resultados'!$P$15)</f>
        <v>4418.0349999999999</v>
      </c>
      <c r="T15" s="46">
        <f>SUMIFS(Gastos!$F$2:$F$164,Gastos!$D$2:$D$164,'Cta Resultados'!T2,Gastos!$M$2:$M$164,'Cta Resultados'!$P$15)</f>
        <v>0</v>
      </c>
      <c r="U15" s="46">
        <f>SUMIFS(Gastos!$F$2:$F$164,Gastos!$D$2:$D$164,'Cta Resultados'!U2,Gastos!$M$2:$M$164,'Cta Resultados'!$P$15)</f>
        <v>0</v>
      </c>
      <c r="V15" s="46">
        <f>SUMIFS(Gastos!$F$2:$F$164,Gastos!$D$2:$D$164,'Cta Resultados'!V2,Gastos!$M$2:$M$164,'Cta Resultados'!$P$15)</f>
        <v>0</v>
      </c>
      <c r="W15" s="46">
        <f>SUMIFS(Gastos!$F$2:$F$164,Gastos!$D$2:$D$164,'Cta Resultados'!W2,Gastos!$M$2:$M$164,'Cta Resultados'!$P$15)</f>
        <v>0</v>
      </c>
      <c r="X15" s="46">
        <f>SUMIFS(Gastos!$F$2:$F$164,Gastos!$D$2:$D$164,'Cta Resultados'!X2,Gastos!$M$2:$M$164,'Cta Resultados'!$P$15)</f>
        <v>0</v>
      </c>
      <c r="Y15" s="46">
        <f>SUMIFS(Gastos!$F$2:$F$164,Gastos!$D$2:$D$164,'Cta Resultados'!Y2,Gastos!$M$2:$M$164,'Cta Resultados'!$P$15)</f>
        <v>0</v>
      </c>
      <c r="Z15" s="46">
        <f>SUMIFS(Gastos!$F$2:$F$164,Gastos!$D$2:$D$164,'Cta Resultados'!Z2,Gastos!$M$2:$M$164,'Cta Resultados'!$P$15)</f>
        <v>0</v>
      </c>
      <c r="AA15" s="46">
        <f>SUMIFS(Gastos!$F$2:$F$164,Gastos!$D$2:$D$164,'Cta Resultados'!AA2,Gastos!$M$2:$M$164,'Cta Resultados'!$P$15)</f>
        <v>0</v>
      </c>
      <c r="AB15" s="46">
        <f>SUMIFS(Gastos!$F$2:$F$164,Gastos!$D$2:$D$164,'Cta Resultados'!AB2,Gastos!$M$2:$M$164,'Cta Resultados'!$P$15)</f>
        <v>0</v>
      </c>
      <c r="AC15" s="32">
        <f t="shared" si="9"/>
        <v>8642.3349999999991</v>
      </c>
      <c r="AE15" s="45" t="s">
        <v>90</v>
      </c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34">
        <f t="shared" si="10"/>
        <v>0</v>
      </c>
    </row>
    <row r="16" spans="1:45" outlineLevel="1" x14ac:dyDescent="0.35">
      <c r="A16" s="45" t="s">
        <v>91</v>
      </c>
      <c r="B16" s="46">
        <v>2180</v>
      </c>
      <c r="C16" s="46">
        <v>2476.1400000000003</v>
      </c>
      <c r="D16" s="46">
        <v>3373.17</v>
      </c>
      <c r="E16" s="46">
        <v>1546.15</v>
      </c>
      <c r="F16" s="46">
        <v>1680.89</v>
      </c>
      <c r="G16" s="46">
        <v>0</v>
      </c>
      <c r="H16" s="46">
        <v>648</v>
      </c>
      <c r="I16" s="46">
        <v>0</v>
      </c>
      <c r="J16" s="46">
        <v>100</v>
      </c>
      <c r="K16" s="46">
        <v>0</v>
      </c>
      <c r="L16" s="46">
        <v>0</v>
      </c>
      <c r="M16" s="46">
        <v>706.26</v>
      </c>
      <c r="N16" s="34">
        <v>12710.61</v>
      </c>
      <c r="P16" s="45" t="s">
        <v>91</v>
      </c>
      <c r="Q16" s="46">
        <f>SUMIFS(Gastos!$F$2:$F$164,Gastos!$D$2:$D$164,'Cta Resultados'!Q2,Gastos!$M$2:$M$164,'Cta Resultados'!$P$16)</f>
        <v>0</v>
      </c>
      <c r="R16" s="46">
        <f>SUMIFS(Gastos!$F$2:$F$164,Gastos!$D$2:$D$164,'Cta Resultados'!R2,Gastos!$M$2:$M$164,'Cta Resultados'!$P$16)</f>
        <v>0</v>
      </c>
      <c r="S16" s="46">
        <f>SUMIFS(Gastos!$F$2:$F$164,Gastos!$D$2:$D$164,'Cta Resultados'!S2,Gastos!$M$2:$M$164,'Cta Resultados'!$P$16)</f>
        <v>706.26</v>
      </c>
      <c r="T16" s="46">
        <f>SUMIFS(Gastos!$F$2:$F$164,Gastos!$D$2:$D$164,'Cta Resultados'!T2,Gastos!$M$2:$M$164,'Cta Resultados'!$P$16)</f>
        <v>0</v>
      </c>
      <c r="U16" s="46">
        <f>SUMIFS(Gastos!$F$2:$F$164,Gastos!$D$2:$D$164,'Cta Resultados'!U2,Gastos!$M$2:$M$164,'Cta Resultados'!$P$16)</f>
        <v>0</v>
      </c>
      <c r="V16" s="46">
        <f>SUMIFS(Gastos!$F$2:$F$164,Gastos!$D$2:$D$164,'Cta Resultados'!V2,Gastos!$M$2:$M$164,'Cta Resultados'!$P$16)</f>
        <v>0</v>
      </c>
      <c r="W16" s="46">
        <f>SUMIFS(Gastos!$F$2:$F$164,Gastos!$D$2:$D$164,'Cta Resultados'!W2,Gastos!$M$2:$M$164,'Cta Resultados'!$P$16)</f>
        <v>0</v>
      </c>
      <c r="X16" s="46">
        <f>SUMIFS(Gastos!$F$2:$F$164,Gastos!$D$2:$D$164,'Cta Resultados'!X2,Gastos!$M$2:$M$164,'Cta Resultados'!$P$16)</f>
        <v>0</v>
      </c>
      <c r="Y16" s="46">
        <f>SUMIFS(Gastos!$F$2:$F$164,Gastos!$D$2:$D$164,'Cta Resultados'!Y2,Gastos!$M$2:$M$164,'Cta Resultados'!$P$16)</f>
        <v>0</v>
      </c>
      <c r="Z16" s="46">
        <f>SUMIFS(Gastos!$F$2:$F$164,Gastos!$D$2:$D$164,'Cta Resultados'!Z2,Gastos!$M$2:$M$164,'Cta Resultados'!$P$16)</f>
        <v>0</v>
      </c>
      <c r="AA16" s="46">
        <f>SUMIFS(Gastos!$F$2:$F$164,Gastos!$D$2:$D$164,'Cta Resultados'!AA2,Gastos!$M$2:$M$164,'Cta Resultados'!$P$16)</f>
        <v>0</v>
      </c>
      <c r="AB16" s="46">
        <f>SUMIFS(Gastos!$F$2:$F$164,Gastos!$D$2:$D$164,'Cta Resultados'!AB2,Gastos!$M$2:$M$164,'Cta Resultados'!$P$16)</f>
        <v>0</v>
      </c>
      <c r="AC16" s="32">
        <f t="shared" si="9"/>
        <v>706.26</v>
      </c>
      <c r="AE16" s="45" t="s">
        <v>91</v>
      </c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34">
        <f t="shared" si="10"/>
        <v>0</v>
      </c>
    </row>
    <row r="17" spans="1:44" outlineLevel="1" x14ac:dyDescent="0.35">
      <c r="A17" s="47" t="s">
        <v>97</v>
      </c>
      <c r="B17" s="46">
        <v>700</v>
      </c>
      <c r="C17" s="46">
        <v>200</v>
      </c>
      <c r="D17" s="46">
        <v>100</v>
      </c>
      <c r="E17" s="46">
        <v>1040</v>
      </c>
      <c r="F17" s="46">
        <v>945</v>
      </c>
      <c r="G17" s="46">
        <v>100</v>
      </c>
      <c r="H17" s="46">
        <v>100</v>
      </c>
      <c r="I17" s="46">
        <v>100</v>
      </c>
      <c r="J17" s="46">
        <v>700</v>
      </c>
      <c r="K17" s="46">
        <v>100</v>
      </c>
      <c r="L17" s="46">
        <v>760</v>
      </c>
      <c r="M17" s="46">
        <v>2489.77</v>
      </c>
      <c r="N17" s="34">
        <v>7334.77</v>
      </c>
      <c r="P17" s="47" t="s">
        <v>97</v>
      </c>
      <c r="Q17" s="46">
        <f>SUMIFS(Gastos!$F$2:$F$164,Gastos!$D$2:$D$164,'Cta Resultados'!Q2,Gastos!$M$2:$M$164,'Cta Resultados'!$P$17)</f>
        <v>100</v>
      </c>
      <c r="R17" s="46">
        <f>SUMIFS(Gastos!$F$2:$F$164,Gastos!$D$2:$D$164,'Cta Resultados'!R2,Gastos!$M$2:$M$164,'Cta Resultados'!$P$17)</f>
        <v>760</v>
      </c>
      <c r="S17" s="46">
        <f>SUMIFS(Gastos!$F$2:$F$164,Gastos!$D$2:$D$164,'Cta Resultados'!S2,Gastos!$M$2:$M$164,'Cta Resultados'!$P$17)</f>
        <v>2489.77</v>
      </c>
      <c r="T17" s="46">
        <f>SUMIFS(Gastos!$F$2:$F$164,Gastos!$D$2:$D$164,'Cta Resultados'!T2,Gastos!$M$2:$M$164,'Cta Resultados'!$P$17)</f>
        <v>0</v>
      </c>
      <c r="U17" s="46">
        <f>SUMIFS(Gastos!$F$2:$F$164,Gastos!$D$2:$D$164,'Cta Resultados'!U2,Gastos!$M$2:$M$164,'Cta Resultados'!$P$17)</f>
        <v>0</v>
      </c>
      <c r="V17" s="46">
        <f>SUMIFS(Gastos!$F$2:$F$164,Gastos!$D$2:$D$164,'Cta Resultados'!V2,Gastos!$M$2:$M$164,'Cta Resultados'!$P$17)</f>
        <v>0</v>
      </c>
      <c r="W17" s="46">
        <f>SUMIFS(Gastos!$F$2:$F$164,Gastos!$D$2:$D$164,'Cta Resultados'!W2,Gastos!$M$2:$M$164,'Cta Resultados'!$P$17)</f>
        <v>0</v>
      </c>
      <c r="X17" s="46">
        <f>SUMIFS(Gastos!$F$2:$F$164,Gastos!$D$2:$D$164,'Cta Resultados'!X2,Gastos!$M$2:$M$164,'Cta Resultados'!$P$17)</f>
        <v>0</v>
      </c>
      <c r="Y17" s="46">
        <f>SUMIFS(Gastos!$F$2:$F$164,Gastos!$D$2:$D$164,'Cta Resultados'!Y2,Gastos!$M$2:$M$164,'Cta Resultados'!$P$17)</f>
        <v>0</v>
      </c>
      <c r="Z17" s="46">
        <f>SUMIFS(Gastos!$F$2:$F$164,Gastos!$D$2:$D$164,'Cta Resultados'!Z2,Gastos!$M$2:$M$164,'Cta Resultados'!$P$17)</f>
        <v>0</v>
      </c>
      <c r="AA17" s="46">
        <f>SUMIFS(Gastos!$F$2:$F$164,Gastos!$D$2:$D$164,'Cta Resultados'!AA2,Gastos!$M$2:$M$164,'Cta Resultados'!$P$17)</f>
        <v>0</v>
      </c>
      <c r="AB17" s="46">
        <f>SUMIFS(Gastos!$F$2:$F$164,Gastos!$D$2:$D$164,'Cta Resultados'!AB2,Gastos!$M$2:$M$164,'Cta Resultados'!$P$17)</f>
        <v>0</v>
      </c>
      <c r="AC17" s="32">
        <f t="shared" si="9"/>
        <v>3349.77</v>
      </c>
      <c r="AE17" s="47" t="s">
        <v>97</v>
      </c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34">
        <f t="shared" si="10"/>
        <v>0</v>
      </c>
    </row>
    <row r="18" spans="1:44" outlineLevel="1" x14ac:dyDescent="0.35">
      <c r="A18" s="55" t="s">
        <v>113</v>
      </c>
      <c r="B18" s="46">
        <v>0</v>
      </c>
      <c r="C18" s="46">
        <v>278.87</v>
      </c>
      <c r="D18" s="46">
        <v>883.17</v>
      </c>
      <c r="E18" s="46">
        <v>0</v>
      </c>
      <c r="F18" s="46">
        <v>487.78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758.05</v>
      </c>
      <c r="M18" s="46">
        <v>0</v>
      </c>
      <c r="N18" s="34">
        <v>2407.87</v>
      </c>
      <c r="P18" s="55" t="s">
        <v>113</v>
      </c>
      <c r="Q18" s="46">
        <f>SUMIFS(Gastos!$F$2:$F$164,Gastos!$D$2:$D$164,'Cta Resultados'!Q2,Gastos!$M$2:$M$164,'Cta Resultados'!$P$18)</f>
        <v>0</v>
      </c>
      <c r="R18" s="46">
        <f>SUMIFS(Gastos!$F$2:$F$164,Gastos!$D$2:$D$164,'Cta Resultados'!R2,Gastos!$M$2:$M$164,'Cta Resultados'!$P$18)</f>
        <v>758.05</v>
      </c>
      <c r="S18" s="46">
        <f>SUMIFS(Gastos!$F$2:$F$164,Gastos!$D$2:$D$164,'Cta Resultados'!S2,Gastos!$M$2:$M$164,'Cta Resultados'!$P$18)</f>
        <v>0</v>
      </c>
      <c r="T18" s="46">
        <f>SUMIFS(Gastos!$F$2:$F$164,Gastos!$D$2:$D$164,'Cta Resultados'!T2,Gastos!$M$2:$M$164,'Cta Resultados'!$P$18)</f>
        <v>0</v>
      </c>
      <c r="U18" s="46">
        <f>SUMIFS(Gastos!$F$2:$F$164,Gastos!$D$2:$D$164,'Cta Resultados'!U2,Gastos!$M$2:$M$164,'Cta Resultados'!$P$18)</f>
        <v>0</v>
      </c>
      <c r="V18" s="46">
        <f>SUMIFS(Gastos!$F$2:$F$164,Gastos!$D$2:$D$164,'Cta Resultados'!V2,Gastos!$M$2:$M$164,'Cta Resultados'!$P$18)</f>
        <v>0</v>
      </c>
      <c r="W18" s="46">
        <f>SUMIFS(Gastos!$F$2:$F$164,Gastos!$D$2:$D$164,'Cta Resultados'!W2,Gastos!$M$2:$M$164,'Cta Resultados'!$P$18)</f>
        <v>0</v>
      </c>
      <c r="X18" s="46">
        <f>SUMIFS(Gastos!$F$2:$F$164,Gastos!$D$2:$D$164,'Cta Resultados'!X2,Gastos!$M$2:$M$164,'Cta Resultados'!$P$18)</f>
        <v>0</v>
      </c>
      <c r="Y18" s="46">
        <f>SUMIFS(Gastos!$F$2:$F$164,Gastos!$D$2:$D$164,'Cta Resultados'!Y2,Gastos!$M$2:$M$164,'Cta Resultados'!$P$18)</f>
        <v>0</v>
      </c>
      <c r="Z18" s="46">
        <f>SUMIFS(Gastos!$F$2:$F$164,Gastos!$D$2:$D$164,'Cta Resultados'!Z2,Gastos!$M$2:$M$164,'Cta Resultados'!$P$18)</f>
        <v>0</v>
      </c>
      <c r="AA18" s="46">
        <f>SUMIFS(Gastos!$F$2:$F$164,Gastos!$D$2:$D$164,'Cta Resultados'!AA2,Gastos!$M$2:$M$164,'Cta Resultados'!$P$18)</f>
        <v>0</v>
      </c>
      <c r="AB18" s="46">
        <f>SUMIFS(Gastos!$F$2:$F$164,Gastos!$D$2:$D$164,'Cta Resultados'!AB2,Gastos!$M$2:$M$164,'Cta Resultados'!$P$18)</f>
        <v>0</v>
      </c>
      <c r="AC18" s="32">
        <f t="shared" si="9"/>
        <v>758.05</v>
      </c>
      <c r="AE18" s="55" t="s">
        <v>113</v>
      </c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34">
        <f t="shared" si="10"/>
        <v>0</v>
      </c>
    </row>
    <row r="19" spans="1:44" x14ac:dyDescent="0.35">
      <c r="A19" s="48" t="s">
        <v>108</v>
      </c>
      <c r="B19" s="30">
        <v>0.42717939100351543</v>
      </c>
      <c r="C19" s="30">
        <v>0.42720796837481023</v>
      </c>
      <c r="D19" s="30">
        <v>0.30379999786119982</v>
      </c>
      <c r="E19" s="30">
        <v>0.2702081806301061</v>
      </c>
      <c r="F19" s="30">
        <v>0.49466078589878992</v>
      </c>
      <c r="G19" s="30">
        <v>0.73485426569411472</v>
      </c>
      <c r="H19" s="30">
        <v>0.25768745791473302</v>
      </c>
      <c r="I19" s="30">
        <v>0.66040712578016258</v>
      </c>
      <c r="J19" s="30">
        <v>0.42116022149354582</v>
      </c>
      <c r="K19" s="30">
        <v>0.54174809190916007</v>
      </c>
      <c r="L19" s="30">
        <v>0.51419074204467063</v>
      </c>
      <c r="M19" s="30">
        <v>0.60487225535939226</v>
      </c>
      <c r="N19" s="20"/>
      <c r="P19" s="48" t="s">
        <v>108</v>
      </c>
      <c r="Q19" s="30">
        <f>Q11/Q3</f>
        <v>0.7520040046326778</v>
      </c>
      <c r="R19" s="30">
        <f>R11/R3</f>
        <v>0.52449648563061968</v>
      </c>
      <c r="S19" s="30">
        <f>S11/S3</f>
        <v>0.50249373697564614</v>
      </c>
      <c r="T19" s="30" t="e">
        <f>T11/T3</f>
        <v>#DIV/0!</v>
      </c>
      <c r="U19" s="30" t="e">
        <f>U11/U3</f>
        <v>#DIV/0!</v>
      </c>
      <c r="V19" s="30" t="e">
        <f>V11/V3</f>
        <v>#DIV/0!</v>
      </c>
      <c r="W19" s="30" t="e">
        <f>W11/W3</f>
        <v>#DIV/0!</v>
      </c>
      <c r="X19" s="30" t="e">
        <f>X11/X3</f>
        <v>#DIV/0!</v>
      </c>
      <c r="Y19" s="30" t="e">
        <f>Y11/Y3</f>
        <v>#DIV/0!</v>
      </c>
      <c r="Z19" s="30" t="e">
        <f>Z11/Z3</f>
        <v>#DIV/0!</v>
      </c>
      <c r="AA19" s="30" t="e">
        <f>AA11/AA3</f>
        <v>#DIV/0!</v>
      </c>
      <c r="AB19" s="30" t="e">
        <f>AB11/AB3</f>
        <v>#DIV/0!</v>
      </c>
      <c r="AC19" s="20"/>
      <c r="AE19" s="48" t="s">
        <v>108</v>
      </c>
      <c r="AF19" s="30">
        <f>AF11/AF3</f>
        <v>0</v>
      </c>
      <c r="AG19" s="30">
        <f>AG11/AG3</f>
        <v>0</v>
      </c>
      <c r="AH19" s="30">
        <f>AH11/AH3</f>
        <v>0</v>
      </c>
      <c r="AI19" s="30">
        <f>AI11/AI3</f>
        <v>0</v>
      </c>
      <c r="AJ19" s="30">
        <f>AJ11/AJ3</f>
        <v>0</v>
      </c>
      <c r="AK19" s="30">
        <f>AK11/AK3</f>
        <v>0</v>
      </c>
      <c r="AL19" s="30">
        <f>AL11/AL3</f>
        <v>0</v>
      </c>
      <c r="AM19" s="30">
        <f>AM11/AM3</f>
        <v>0</v>
      </c>
      <c r="AN19" s="30">
        <f>AN11/AN3</f>
        <v>0</v>
      </c>
      <c r="AO19" s="30">
        <f>AO11/AO3</f>
        <v>0</v>
      </c>
      <c r="AP19" s="30">
        <f>AP11/AP3</f>
        <v>0</v>
      </c>
      <c r="AQ19" s="30">
        <f>AQ11/AQ3</f>
        <v>0</v>
      </c>
      <c r="AR19" s="20"/>
    </row>
    <row r="20" spans="1:44" ht="7" customHeight="1" x14ac:dyDescent="0.35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0"/>
      <c r="P20" s="21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0"/>
      <c r="AE20" s="21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0"/>
    </row>
    <row r="21" spans="1:44" x14ac:dyDescent="0.35">
      <c r="A21" s="66" t="s">
        <v>71</v>
      </c>
      <c r="B21" s="67">
        <v>32544.910000000003</v>
      </c>
      <c r="C21" s="67">
        <v>29115.527000000002</v>
      </c>
      <c r="D21" s="67">
        <v>34820.589999999997</v>
      </c>
      <c r="E21" s="67">
        <v>31932.876</v>
      </c>
      <c r="F21" s="67">
        <v>34237.542999999998</v>
      </c>
      <c r="G21" s="67">
        <v>35562.440999999999</v>
      </c>
      <c r="H21" s="67">
        <v>27581.472999999998</v>
      </c>
      <c r="I21" s="67">
        <v>25528.794999999998</v>
      </c>
      <c r="J21" s="67">
        <v>25375.573</v>
      </c>
      <c r="K21" s="67">
        <v>29684.494999999995</v>
      </c>
      <c r="L21" s="67">
        <v>33844.818842975204</v>
      </c>
      <c r="M21" s="67">
        <v>41152.387000000002</v>
      </c>
      <c r="N21" s="68">
        <v>381381.42884297512</v>
      </c>
      <c r="P21" s="23" t="s">
        <v>71</v>
      </c>
      <c r="Q21" s="24">
        <f>Q6+Q11</f>
        <v>21660.494999999999</v>
      </c>
      <c r="R21" s="24">
        <f>R6+R11</f>
        <v>25409.318842975204</v>
      </c>
      <c r="S21" s="24">
        <f>S6+S11</f>
        <v>29989.776999999998</v>
      </c>
      <c r="T21" s="24">
        <f>T6+T11</f>
        <v>0</v>
      </c>
      <c r="U21" s="24">
        <f>U6+U11</f>
        <v>0</v>
      </c>
      <c r="V21" s="24">
        <f>V6+V11</f>
        <v>0</v>
      </c>
      <c r="W21" s="24">
        <f>W6+W11</f>
        <v>0</v>
      </c>
      <c r="X21" s="24">
        <f>X6+X11</f>
        <v>0</v>
      </c>
      <c r="Y21" s="24">
        <f>Y6+Y11</f>
        <v>0</v>
      </c>
      <c r="Z21" s="24">
        <f>Z6+Z11</f>
        <v>0</v>
      </c>
      <c r="AA21" s="24">
        <f>AA6+AA11</f>
        <v>0</v>
      </c>
      <c r="AB21" s="24">
        <f>AB6+AB11</f>
        <v>0</v>
      </c>
      <c r="AC21" s="15">
        <f>SUM(Q21:AB21)</f>
        <v>77059.590842975202</v>
      </c>
      <c r="AE21" s="77" t="s">
        <v>71</v>
      </c>
      <c r="AF21" s="78">
        <f>AF6+AF11</f>
        <v>0</v>
      </c>
      <c r="AG21" s="78">
        <f>AG6+AG11</f>
        <v>0</v>
      </c>
      <c r="AH21" s="78">
        <f>AH6+AH11</f>
        <v>0</v>
      </c>
      <c r="AI21" s="78">
        <f>AI6+AI11</f>
        <v>0</v>
      </c>
      <c r="AJ21" s="78">
        <f>AJ6+AJ11</f>
        <v>0</v>
      </c>
      <c r="AK21" s="78">
        <f>AK6+AK11</f>
        <v>0</v>
      </c>
      <c r="AL21" s="78">
        <f>AL6+AL11</f>
        <v>0</v>
      </c>
      <c r="AM21" s="78">
        <f>AM6+AM11</f>
        <v>0</v>
      </c>
      <c r="AN21" s="78">
        <f>AN6+AN11</f>
        <v>0</v>
      </c>
      <c r="AO21" s="78">
        <f>AO6+AO11</f>
        <v>0</v>
      </c>
      <c r="AP21" s="78">
        <f>AP6+AP11</f>
        <v>0</v>
      </c>
      <c r="AQ21" s="78">
        <f>AQ6+AQ11</f>
        <v>0</v>
      </c>
      <c r="AR21" s="79">
        <f>SUM(AF21:AQ21)</f>
        <v>0</v>
      </c>
    </row>
    <row r="22" spans="1:44" x14ac:dyDescent="0.35">
      <c r="A22" s="16" t="s">
        <v>70</v>
      </c>
      <c r="B22" s="17">
        <v>34.25999999999658</v>
      </c>
      <c r="C22" s="17">
        <v>73.862999999995736</v>
      </c>
      <c r="D22" s="17">
        <v>12869.699999999997</v>
      </c>
      <c r="E22" s="17">
        <v>15531.194</v>
      </c>
      <c r="F22" s="17">
        <v>-1307.6029999999973</v>
      </c>
      <c r="G22" s="17">
        <v>-11318.321</v>
      </c>
      <c r="H22" s="17">
        <v>14966.077000000003</v>
      </c>
      <c r="I22" s="17">
        <v>-12553.934999999999</v>
      </c>
      <c r="J22" s="17">
        <v>-3234.9730000000018</v>
      </c>
      <c r="K22" s="17">
        <v>-10981.244999999997</v>
      </c>
      <c r="L22" s="17">
        <v>-5866.7188429752041</v>
      </c>
      <c r="M22" s="17">
        <v>-3889.7669999999962</v>
      </c>
      <c r="N22" s="18">
        <v>-5677.4688429752059</v>
      </c>
      <c r="P22" s="16" t="s">
        <v>70</v>
      </c>
      <c r="Q22" s="17">
        <f>Q3-Q6-Q11</f>
        <v>-9814.2149999999983</v>
      </c>
      <c r="R22" s="17">
        <f>R3-R6-R11</f>
        <v>-241.2188429752041</v>
      </c>
      <c r="S22" s="17">
        <f>S3-S6-S11</f>
        <v>6182.8430000000044</v>
      </c>
      <c r="T22" s="17">
        <f>T3-T6-T11</f>
        <v>0</v>
      </c>
      <c r="U22" s="17">
        <f>U3-U6-U11</f>
        <v>0</v>
      </c>
      <c r="V22" s="17">
        <f>V3-V6-V11</f>
        <v>0</v>
      </c>
      <c r="W22" s="17">
        <f>W3-W6-W11</f>
        <v>0</v>
      </c>
      <c r="X22" s="17">
        <f>X3-X6-X11</f>
        <v>0</v>
      </c>
      <c r="Y22" s="17">
        <f>Y3-Y6-Y11</f>
        <v>0</v>
      </c>
      <c r="Z22" s="17">
        <f>Z3-Z6-Z11</f>
        <v>0</v>
      </c>
      <c r="AA22" s="17">
        <f>AA3-AA6-AA11</f>
        <v>0</v>
      </c>
      <c r="AB22" s="17">
        <f>AB3-AB6-AB11</f>
        <v>0</v>
      </c>
      <c r="AC22" s="18">
        <f>SUM(Q22:AB22)</f>
        <v>-3872.590842975198</v>
      </c>
      <c r="AE22" s="16" t="s">
        <v>70</v>
      </c>
      <c r="AF22" s="17">
        <f>AF3-AF6-AF11</f>
        <v>50000</v>
      </c>
      <c r="AG22" s="17">
        <f>AG3-AG6-AG11</f>
        <v>50000</v>
      </c>
      <c r="AH22" s="17">
        <f>AH3-AH6-AH11</f>
        <v>50000</v>
      </c>
      <c r="AI22" s="17">
        <f>AI3-AI6-AI11</f>
        <v>50000</v>
      </c>
      <c r="AJ22" s="17">
        <f>AJ3-AJ6-AJ11</f>
        <v>50000</v>
      </c>
      <c r="AK22" s="17">
        <f>AK3-AK6-AK11</f>
        <v>50000</v>
      </c>
      <c r="AL22" s="17">
        <f>AL3-AL6-AL11</f>
        <v>50000</v>
      </c>
      <c r="AM22" s="17">
        <f>AM3-AM6-AM11</f>
        <v>50000</v>
      </c>
      <c r="AN22" s="17">
        <f>AN3-AN6-AN11</f>
        <v>50000</v>
      </c>
      <c r="AO22" s="17">
        <f>AO3-AO6-AO11</f>
        <v>50000</v>
      </c>
      <c r="AP22" s="17">
        <f>AP3-AP6-AP11</f>
        <v>50000</v>
      </c>
      <c r="AQ22" s="17">
        <f>AQ3-AQ6-AQ11</f>
        <v>50000</v>
      </c>
      <c r="AR22" s="18">
        <f>SUM(AF22:AQ22)</f>
        <v>600000</v>
      </c>
    </row>
    <row r="23" spans="1:44" x14ac:dyDescent="0.35">
      <c r="A23" s="21"/>
      <c r="B23" s="22">
        <v>1.051592167633386E-3</v>
      </c>
      <c r="C23" s="22">
        <v>2.5304742579408388E-3</v>
      </c>
      <c r="D23" s="22">
        <v>0.26985996520465694</v>
      </c>
      <c r="E23" s="22">
        <v>0.3272200213761694</v>
      </c>
      <c r="F23" s="22">
        <v>-3.9708635970791238E-2</v>
      </c>
      <c r="G23" s="22">
        <v>-0.46684808522643845</v>
      </c>
      <c r="H23" s="22">
        <v>0.35174944268236363</v>
      </c>
      <c r="I23" s="22">
        <v>-0.96755841681528731</v>
      </c>
      <c r="J23" s="22">
        <v>-0.14611044867799436</v>
      </c>
      <c r="K23" s="22">
        <v>-0.58713031157686479</v>
      </c>
      <c r="L23" s="22">
        <v>-0.20968968024902349</v>
      </c>
      <c r="M23" s="22">
        <v>-0.10438790938479356</v>
      </c>
      <c r="N23" s="20"/>
      <c r="P23" s="21"/>
      <c r="Q23" s="22">
        <f>Q22/Q3</f>
        <v>-0.82846387220291917</v>
      </c>
      <c r="R23" s="22">
        <f>R22/R3</f>
        <v>-9.584308826459052E-3</v>
      </c>
      <c r="S23" s="22">
        <f>S22/S3</f>
        <v>0.17092604848639673</v>
      </c>
      <c r="T23" s="22" t="e">
        <f>T22/T3</f>
        <v>#DIV/0!</v>
      </c>
      <c r="U23" s="22" t="e">
        <f>U22/U3</f>
        <v>#DIV/0!</v>
      </c>
      <c r="V23" s="22" t="e">
        <f>V22/V3</f>
        <v>#DIV/0!</v>
      </c>
      <c r="W23" s="22" t="e">
        <f>W22/W3</f>
        <v>#DIV/0!</v>
      </c>
      <c r="X23" s="22" t="e">
        <f>X22/X3</f>
        <v>#DIV/0!</v>
      </c>
      <c r="Y23" s="22" t="e">
        <f>Y22/Y3</f>
        <v>#DIV/0!</v>
      </c>
      <c r="Z23" s="22" t="e">
        <f>Z22/Z3</f>
        <v>#DIV/0!</v>
      </c>
      <c r="AA23" s="22" t="e">
        <f>AA22/AA3</f>
        <v>#DIV/0!</v>
      </c>
      <c r="AB23" s="22" t="e">
        <f>AB22/AB3</f>
        <v>#DIV/0!</v>
      </c>
      <c r="AC23" s="20"/>
      <c r="AE23" s="21"/>
      <c r="AF23" s="22">
        <f>AF22/AF3</f>
        <v>1</v>
      </c>
      <c r="AG23" s="22">
        <f>AG22/AG3</f>
        <v>1</v>
      </c>
      <c r="AH23" s="22">
        <f>AH22/AH3</f>
        <v>1</v>
      </c>
      <c r="AI23" s="22">
        <f>AI22/AI3</f>
        <v>1</v>
      </c>
      <c r="AJ23" s="22">
        <f>AJ22/AJ3</f>
        <v>1</v>
      </c>
      <c r="AK23" s="22">
        <f>AK22/AK3</f>
        <v>1</v>
      </c>
      <c r="AL23" s="22">
        <f>AL22/AL3</f>
        <v>1</v>
      </c>
      <c r="AM23" s="22">
        <f>AM22/AM3</f>
        <v>1</v>
      </c>
      <c r="AN23" s="22">
        <f>AN22/AN3</f>
        <v>1</v>
      </c>
      <c r="AO23" s="22">
        <f>AO22/AO3</f>
        <v>1</v>
      </c>
      <c r="AP23" s="22">
        <f>AP22/AP3</f>
        <v>1</v>
      </c>
      <c r="AQ23" s="22">
        <f>AQ22/AQ3</f>
        <v>1</v>
      </c>
      <c r="AR23" s="20"/>
    </row>
    <row r="24" spans="1:44" ht="7.5" customHeight="1" x14ac:dyDescent="0.3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20"/>
      <c r="P24" s="21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20"/>
      <c r="AE24" s="21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20"/>
    </row>
    <row r="25" spans="1:44" x14ac:dyDescent="0.35">
      <c r="A25" s="59" t="s">
        <v>72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1">
        <v>0</v>
      </c>
      <c r="P25" s="35" t="s">
        <v>72</v>
      </c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32">
        <f>SUM(Q25:AB25)</f>
        <v>0</v>
      </c>
      <c r="AE25" s="70" t="s">
        <v>72</v>
      </c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2">
        <f>SUM(AF25:AQ25)</f>
        <v>0</v>
      </c>
    </row>
    <row r="26" spans="1:44" x14ac:dyDescent="0.35">
      <c r="A26" s="59" t="s">
        <v>109</v>
      </c>
      <c r="B26" s="65">
        <v>1556.6499999999999</v>
      </c>
      <c r="C26" s="65">
        <v>1004.72</v>
      </c>
      <c r="D26" s="65">
        <v>1111.02</v>
      </c>
      <c r="E26" s="65">
        <v>1443.0700000000002</v>
      </c>
      <c r="F26" s="65">
        <v>1326.1</v>
      </c>
      <c r="G26" s="65">
        <v>1107.24</v>
      </c>
      <c r="H26" s="65">
        <v>1727.17</v>
      </c>
      <c r="I26" s="65">
        <v>978.18</v>
      </c>
      <c r="J26" s="65">
        <v>972.66</v>
      </c>
      <c r="K26" s="65">
        <v>1018.66</v>
      </c>
      <c r="L26" s="65">
        <v>955.66</v>
      </c>
      <c r="M26" s="65">
        <v>1846.3899999999999</v>
      </c>
      <c r="N26" s="61">
        <v>15047.519999999999</v>
      </c>
      <c r="P26" s="35" t="s">
        <v>109</v>
      </c>
      <c r="Q26" s="50">
        <f>SUMIFS(Gastos!$F:$F,Gastos!$D:$D,'Cta Resultados'!Q2,Gastos!$M:$M,"gastos financiero")</f>
        <v>1018.66</v>
      </c>
      <c r="R26" s="50">
        <f>SUMIFS(Gastos!$F:$F,Gastos!$D:$D,'Cta Resultados'!R2,Gastos!$M:$M,"gastos financiero")</f>
        <v>955.66</v>
      </c>
      <c r="S26" s="50">
        <f>SUMIFS(Gastos!$F:$F,Gastos!$D:$D,'Cta Resultados'!S2,Gastos!$M:$M,"gastos financiero")</f>
        <v>1846.3899999999999</v>
      </c>
      <c r="T26" s="50">
        <f>SUMIFS(Gastos!$F:$F,Gastos!$D:$D,'Cta Resultados'!T2,Gastos!$M:$M,"gastos financiero")</f>
        <v>0</v>
      </c>
      <c r="U26" s="50">
        <f>SUMIFS(Gastos!$F:$F,Gastos!$D:$D,'Cta Resultados'!U2,Gastos!$M:$M,"gastos financiero")</f>
        <v>0</v>
      </c>
      <c r="V26" s="50">
        <f>SUMIFS(Gastos!$F:$F,Gastos!$D:$D,'Cta Resultados'!V2,Gastos!$M:$M,"gastos financiero")</f>
        <v>0</v>
      </c>
      <c r="W26" s="50">
        <f>SUMIFS(Gastos!$F:$F,Gastos!$D:$D,'Cta Resultados'!W2,Gastos!$M:$M,"gastos financiero")</f>
        <v>0</v>
      </c>
      <c r="X26" s="50">
        <f>SUMIFS(Gastos!$F:$F,Gastos!$D:$D,'Cta Resultados'!X2,Gastos!$M:$M,"gastos financiero")</f>
        <v>0</v>
      </c>
      <c r="Y26" s="50">
        <f>SUMIFS(Gastos!$F:$F,Gastos!$D:$D,'Cta Resultados'!Y2,Gastos!$M:$M,"gastos financiero")</f>
        <v>0</v>
      </c>
      <c r="Z26" s="50">
        <f>SUMIFS(Gastos!$F:$F,Gastos!$D:$D,'Cta Resultados'!Z2,Gastos!$M:$M,"gastos financiero")</f>
        <v>0</v>
      </c>
      <c r="AA26" s="50">
        <f>SUMIFS(Gastos!$F:$F,Gastos!$D:$D,'Cta Resultados'!AA2,Gastos!$M:$M,"gastos financiero")</f>
        <v>0</v>
      </c>
      <c r="AB26" s="50">
        <f>SUMIFS(Gastos!$F:$F,Gastos!$D:$D,'Cta Resultados'!AB2,Gastos!$M:$M,"gastos financiero")</f>
        <v>0</v>
      </c>
      <c r="AC26" s="32">
        <f>SUM(Q26:AB26)</f>
        <v>3820.71</v>
      </c>
      <c r="AE26" s="70" t="s">
        <v>109</v>
      </c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2">
        <f>SUM(AF26:AQ26)</f>
        <v>0</v>
      </c>
    </row>
    <row r="27" spans="1:44" x14ac:dyDescent="0.35">
      <c r="A27" s="51" t="s">
        <v>73</v>
      </c>
      <c r="B27" s="52">
        <v>-1522.3900000000033</v>
      </c>
      <c r="C27" s="52">
        <v>-930.85700000000429</v>
      </c>
      <c r="D27" s="52">
        <v>11758.679999999997</v>
      </c>
      <c r="E27" s="52">
        <v>14088.124</v>
      </c>
      <c r="F27" s="52">
        <v>-2633.7029999999972</v>
      </c>
      <c r="G27" s="52">
        <v>-12425.561</v>
      </c>
      <c r="H27" s="52">
        <v>13238.907000000003</v>
      </c>
      <c r="I27" s="52">
        <v>-13532.115</v>
      </c>
      <c r="J27" s="52">
        <v>-4207.6330000000016</v>
      </c>
      <c r="K27" s="52">
        <v>-11999.904999999997</v>
      </c>
      <c r="L27" s="52">
        <v>-6822.378842975204</v>
      </c>
      <c r="M27" s="52">
        <v>-5736.1569999999956</v>
      </c>
      <c r="N27" s="52">
        <v>-20724.988842975203</v>
      </c>
      <c r="P27" s="51" t="s">
        <v>73</v>
      </c>
      <c r="Q27" s="52">
        <f>Q22-Q25-Q26</f>
        <v>-10832.874999999998</v>
      </c>
      <c r="R27" s="52">
        <f t="shared" ref="R27:AB27" si="11">R22-R25-R26</f>
        <v>-1196.878842975204</v>
      </c>
      <c r="S27" s="52">
        <f t="shared" si="11"/>
        <v>4336.453000000005</v>
      </c>
      <c r="T27" s="52">
        <f t="shared" si="11"/>
        <v>0</v>
      </c>
      <c r="U27" s="52">
        <f t="shared" si="11"/>
        <v>0</v>
      </c>
      <c r="V27" s="52">
        <f t="shared" si="11"/>
        <v>0</v>
      </c>
      <c r="W27" s="52">
        <f t="shared" si="11"/>
        <v>0</v>
      </c>
      <c r="X27" s="52">
        <f t="shared" si="11"/>
        <v>0</v>
      </c>
      <c r="Y27" s="52">
        <f t="shared" si="11"/>
        <v>0</v>
      </c>
      <c r="Z27" s="52">
        <f t="shared" si="11"/>
        <v>0</v>
      </c>
      <c r="AA27" s="52">
        <f t="shared" si="11"/>
        <v>0</v>
      </c>
      <c r="AB27" s="52">
        <f t="shared" si="11"/>
        <v>0</v>
      </c>
      <c r="AC27" s="52">
        <f>SUM(Q27:AB27)</f>
        <v>-7693.3008429751972</v>
      </c>
      <c r="AE27" s="51" t="s">
        <v>73</v>
      </c>
      <c r="AF27" s="52">
        <f>AF22-AF25-AF26</f>
        <v>50000</v>
      </c>
      <c r="AG27" s="52">
        <f t="shared" ref="AG27:AQ27" si="12">AG22-AG25-AG26</f>
        <v>50000</v>
      </c>
      <c r="AH27" s="52">
        <f t="shared" si="12"/>
        <v>50000</v>
      </c>
      <c r="AI27" s="52">
        <f t="shared" si="12"/>
        <v>50000</v>
      </c>
      <c r="AJ27" s="52">
        <f t="shared" si="12"/>
        <v>50000</v>
      </c>
      <c r="AK27" s="52">
        <f t="shared" si="12"/>
        <v>50000</v>
      </c>
      <c r="AL27" s="52">
        <f t="shared" si="12"/>
        <v>50000</v>
      </c>
      <c r="AM27" s="52">
        <f t="shared" si="12"/>
        <v>50000</v>
      </c>
      <c r="AN27" s="52">
        <f t="shared" si="12"/>
        <v>50000</v>
      </c>
      <c r="AO27" s="52">
        <f t="shared" si="12"/>
        <v>50000</v>
      </c>
      <c r="AP27" s="52">
        <f t="shared" si="12"/>
        <v>50000</v>
      </c>
      <c r="AQ27" s="52">
        <f t="shared" si="12"/>
        <v>50000</v>
      </c>
      <c r="AR27" s="52">
        <f>SUM(AF27:AQ27)</f>
        <v>600000</v>
      </c>
    </row>
    <row r="28" spans="1:44" x14ac:dyDescent="0.3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P28" s="19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E28" s="19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</row>
    <row r="29" spans="1:44" x14ac:dyDescent="0.35">
      <c r="A29" s="25" t="s">
        <v>110</v>
      </c>
      <c r="B29" s="26">
        <v>-1522.3900000000033</v>
      </c>
      <c r="C29" s="26">
        <v>-930.85700000000429</v>
      </c>
      <c r="D29" s="26">
        <v>11758.679999999997</v>
      </c>
      <c r="E29" s="26">
        <v>14088.124</v>
      </c>
      <c r="F29" s="26">
        <v>-2633.7029999999972</v>
      </c>
      <c r="G29" s="26">
        <v>-12425.561</v>
      </c>
      <c r="H29" s="26">
        <v>13238.907000000003</v>
      </c>
      <c r="I29" s="26">
        <v>-13532.115</v>
      </c>
      <c r="J29" s="26">
        <v>-4207.6330000000016</v>
      </c>
      <c r="K29" s="26">
        <v>-11999.904999999997</v>
      </c>
      <c r="L29" s="26">
        <v>-6822.378842975204</v>
      </c>
      <c r="M29" s="26">
        <v>-5736.1569999999956</v>
      </c>
      <c r="N29" s="26">
        <v>-20724.988842975203</v>
      </c>
      <c r="P29" s="25" t="s">
        <v>110</v>
      </c>
      <c r="Q29" s="26">
        <f t="shared" ref="Q29:AB29" si="13">Q27</f>
        <v>-10832.874999999998</v>
      </c>
      <c r="R29" s="26">
        <f t="shared" si="13"/>
        <v>-1196.878842975204</v>
      </c>
      <c r="S29" s="26">
        <f t="shared" si="13"/>
        <v>4336.453000000005</v>
      </c>
      <c r="T29" s="26">
        <f t="shared" si="13"/>
        <v>0</v>
      </c>
      <c r="U29" s="26">
        <f t="shared" si="13"/>
        <v>0</v>
      </c>
      <c r="V29" s="26">
        <f t="shared" si="13"/>
        <v>0</v>
      </c>
      <c r="W29" s="26">
        <f t="shared" si="13"/>
        <v>0</v>
      </c>
      <c r="X29" s="26">
        <f t="shared" si="13"/>
        <v>0</v>
      </c>
      <c r="Y29" s="26">
        <f t="shared" si="13"/>
        <v>0</v>
      </c>
      <c r="Z29" s="26">
        <f t="shared" si="13"/>
        <v>0</v>
      </c>
      <c r="AA29" s="26">
        <f t="shared" si="13"/>
        <v>0</v>
      </c>
      <c r="AB29" s="26">
        <f t="shared" si="13"/>
        <v>0</v>
      </c>
      <c r="AC29" s="26">
        <f>SUM(Q29:AB29)</f>
        <v>-7693.3008429751972</v>
      </c>
      <c r="AE29" s="25" t="s">
        <v>110</v>
      </c>
      <c r="AF29" s="26">
        <f t="shared" ref="AF29:AQ29" si="14">AF27</f>
        <v>50000</v>
      </c>
      <c r="AG29" s="26">
        <f t="shared" si="14"/>
        <v>50000</v>
      </c>
      <c r="AH29" s="26">
        <f t="shared" si="14"/>
        <v>50000</v>
      </c>
      <c r="AI29" s="26">
        <f t="shared" si="14"/>
        <v>50000</v>
      </c>
      <c r="AJ29" s="26">
        <f t="shared" si="14"/>
        <v>50000</v>
      </c>
      <c r="AK29" s="26">
        <f t="shared" si="14"/>
        <v>50000</v>
      </c>
      <c r="AL29" s="26">
        <f t="shared" si="14"/>
        <v>50000</v>
      </c>
      <c r="AM29" s="26">
        <f t="shared" si="14"/>
        <v>50000</v>
      </c>
      <c r="AN29" s="26">
        <f t="shared" si="14"/>
        <v>50000</v>
      </c>
      <c r="AO29" s="26">
        <f t="shared" si="14"/>
        <v>50000</v>
      </c>
      <c r="AP29" s="26">
        <f t="shared" si="14"/>
        <v>50000</v>
      </c>
      <c r="AQ29" s="26">
        <f t="shared" si="14"/>
        <v>50000</v>
      </c>
      <c r="AR29" s="26">
        <f>SUM(AF29:AQ29)</f>
        <v>600000</v>
      </c>
    </row>
    <row r="30" spans="1:44" x14ac:dyDescent="0.35">
      <c r="A30" s="21"/>
      <c r="B30" s="27">
        <v>-4.6728937538924514E-2</v>
      </c>
      <c r="C30" s="27">
        <v>-3.1890251903174557E-2</v>
      </c>
      <c r="D30" s="27">
        <v>0.24656339896444324</v>
      </c>
      <c r="E30" s="27">
        <v>0.29681660253745623</v>
      </c>
      <c r="F30" s="27">
        <v>-7.9978979615510898E-2</v>
      </c>
      <c r="G30" s="27">
        <v>-0.51251854057808655</v>
      </c>
      <c r="H30" s="27">
        <v>0.31115556594915578</v>
      </c>
      <c r="I30" s="27">
        <v>-1.0429488256520687</v>
      </c>
      <c r="J30" s="27">
        <v>-0.19004150745688925</v>
      </c>
      <c r="K30" s="27">
        <v>-0.64159464264232136</v>
      </c>
      <c r="L30" s="27">
        <v>-0.24384711052484634</v>
      </c>
      <c r="M30" s="27">
        <v>-0.15393863877526581</v>
      </c>
      <c r="N30" s="27">
        <v>-5.5163083303607467E-2</v>
      </c>
      <c r="P30" s="21"/>
      <c r="Q30" s="27">
        <f>Q29/Q3</f>
        <v>-0.91445373568748989</v>
      </c>
      <c r="R30" s="27">
        <f>R29/R3</f>
        <v>-4.7555391268121305E-2</v>
      </c>
      <c r="S30" s="27">
        <f>S29/S3</f>
        <v>0.11988219266395425</v>
      </c>
      <c r="T30" s="27" t="e">
        <f>T29/T3</f>
        <v>#DIV/0!</v>
      </c>
      <c r="U30" s="27" t="e">
        <f>U29/U3</f>
        <v>#DIV/0!</v>
      </c>
      <c r="V30" s="27" t="e">
        <f>V29/V3</f>
        <v>#DIV/0!</v>
      </c>
      <c r="W30" s="27" t="e">
        <f>W29/W3</f>
        <v>#DIV/0!</v>
      </c>
      <c r="X30" s="27" t="e">
        <f>X29/X3</f>
        <v>#DIV/0!</v>
      </c>
      <c r="Y30" s="27" t="e">
        <f>Y29/Y3</f>
        <v>#DIV/0!</v>
      </c>
      <c r="Z30" s="27" t="e">
        <f>Z29/Z3</f>
        <v>#DIV/0!</v>
      </c>
      <c r="AA30" s="27" t="e">
        <f>AA29/AA3</f>
        <v>#DIV/0!</v>
      </c>
      <c r="AB30" s="27" t="e">
        <f>AB29/AB3</f>
        <v>#DIV/0!</v>
      </c>
      <c r="AC30" s="27">
        <f>AC29/AC3</f>
        <v>-0.10511840686153548</v>
      </c>
      <c r="AE30" s="21"/>
      <c r="AF30" s="27">
        <f>AF29/AF3</f>
        <v>1</v>
      </c>
      <c r="AG30" s="27">
        <f>AG29/AG3</f>
        <v>1</v>
      </c>
      <c r="AH30" s="27">
        <f>AH29/AH3</f>
        <v>1</v>
      </c>
      <c r="AI30" s="27">
        <f>AI29/AI3</f>
        <v>1</v>
      </c>
      <c r="AJ30" s="27">
        <f>AJ29/AJ3</f>
        <v>1</v>
      </c>
      <c r="AK30" s="27">
        <f>AK29/AK3</f>
        <v>1</v>
      </c>
      <c r="AL30" s="27">
        <f>AL29/AL3</f>
        <v>1</v>
      </c>
      <c r="AM30" s="27">
        <f>AM29/AM3</f>
        <v>1</v>
      </c>
      <c r="AN30" s="27">
        <f>AN29/AN3</f>
        <v>1</v>
      </c>
      <c r="AO30" s="27">
        <f>AO29/AO3</f>
        <v>1</v>
      </c>
      <c r="AP30" s="27">
        <f>AP29/AP3</f>
        <v>1</v>
      </c>
      <c r="AQ30" s="27">
        <f>AQ29/AQ3</f>
        <v>1</v>
      </c>
      <c r="AR30" s="27">
        <f>AR29/AR3</f>
        <v>1</v>
      </c>
    </row>
  </sheetData>
  <conditionalFormatting sqref="Q23:AB23">
    <cfRule type="cellIs" dxfId="5" priority="7" operator="lessThan">
      <formula>0.2</formula>
    </cfRule>
  </conditionalFormatting>
  <conditionalFormatting sqref="Q30:AC30">
    <cfRule type="cellIs" dxfId="4" priority="6" operator="lessThan">
      <formula>0.2</formula>
    </cfRule>
  </conditionalFormatting>
  <conditionalFormatting sqref="B23:M23">
    <cfRule type="cellIs" dxfId="3" priority="4" operator="lessThan">
      <formula>0.2</formula>
    </cfRule>
  </conditionalFormatting>
  <conditionalFormatting sqref="B30:N30">
    <cfRule type="cellIs" dxfId="2" priority="3" operator="lessThan">
      <formula>0.2</formula>
    </cfRule>
  </conditionalFormatting>
  <conditionalFormatting sqref="AF23:AQ23">
    <cfRule type="cellIs" dxfId="1" priority="2" operator="lessThan">
      <formula>0.2</formula>
    </cfRule>
  </conditionalFormatting>
  <conditionalFormatting sqref="AF30:AR30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dimension ref="A1:M632"/>
  <sheetViews>
    <sheetView zoomScale="90" zoomScaleNormal="90" workbookViewId="0">
      <selection activeCell="A2" sqref="A2"/>
    </sheetView>
  </sheetViews>
  <sheetFormatPr baseColWidth="10" defaultRowHeight="14.5" x14ac:dyDescent="0.35"/>
  <cols>
    <col min="1" max="1" width="11.54296875" bestFit="1" customWidth="1"/>
    <col min="2" max="2" width="12.1796875" bestFit="1" customWidth="1"/>
    <col min="3" max="3" width="44.453125" bestFit="1" customWidth="1"/>
    <col min="4" max="4" width="18.90625" bestFit="1" customWidth="1"/>
    <col min="5" max="5" width="12.81640625" bestFit="1" customWidth="1"/>
    <col min="6" max="6" width="8.54296875" bestFit="1" customWidth="1"/>
    <col min="7" max="7" width="9" bestFit="1" customWidth="1"/>
    <col min="8" max="8" width="14.453125" bestFit="1" customWidth="1"/>
    <col min="10" max="10" width="26.81640625" bestFit="1" customWidth="1"/>
    <col min="11" max="11" width="21.90625" bestFit="1" customWidth="1"/>
    <col min="12" max="12" width="10.1796875" bestFit="1" customWidth="1"/>
    <col min="13" max="13" width="9.453125" bestFit="1" customWidth="1"/>
    <col min="14" max="15" width="12" bestFit="1" customWidth="1"/>
    <col min="16" max="18" width="9" bestFit="1" customWidth="1"/>
    <col min="19" max="19" width="10.6328125" bestFit="1" customWidth="1"/>
    <col min="20" max="20" width="9" bestFit="1" customWidth="1"/>
    <col min="21" max="21" width="10.1796875" bestFit="1" customWidth="1"/>
    <col min="22" max="22" width="9.453125" bestFit="1" customWidth="1"/>
    <col min="23" max="23" width="12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38" t="s">
        <v>83</v>
      </c>
      <c r="K1" s="38" t="s">
        <v>82</v>
      </c>
    </row>
    <row r="2" spans="1:13" x14ac:dyDescent="0.35">
      <c r="A2" t="s">
        <v>9</v>
      </c>
      <c r="B2" t="s">
        <v>42</v>
      </c>
      <c r="D2">
        <v>100</v>
      </c>
      <c r="E2">
        <v>0</v>
      </c>
      <c r="F2">
        <v>21</v>
      </c>
      <c r="G2">
        <v>121</v>
      </c>
      <c r="H2">
        <v>0</v>
      </c>
      <c r="J2" s="38" t="s">
        <v>80</v>
      </c>
      <c r="K2" t="s">
        <v>51</v>
      </c>
      <c r="L2" t="s">
        <v>52</v>
      </c>
      <c r="M2" t="s">
        <v>53</v>
      </c>
    </row>
    <row r="3" spans="1:13" x14ac:dyDescent="0.35">
      <c r="A3" t="s">
        <v>9</v>
      </c>
      <c r="B3" t="s">
        <v>42</v>
      </c>
      <c r="D3">
        <v>150</v>
      </c>
      <c r="E3">
        <v>0</v>
      </c>
      <c r="F3">
        <v>31.5</v>
      </c>
      <c r="G3">
        <v>181.5</v>
      </c>
      <c r="H3">
        <v>0</v>
      </c>
      <c r="J3" s="39" t="s">
        <v>8</v>
      </c>
      <c r="K3">
        <v>1300</v>
      </c>
      <c r="L3">
        <v>2782.65</v>
      </c>
      <c r="M3">
        <v>13820.72</v>
      </c>
    </row>
    <row r="4" spans="1:13" x14ac:dyDescent="0.35">
      <c r="A4" t="s">
        <v>9</v>
      </c>
      <c r="B4" t="s">
        <v>42</v>
      </c>
      <c r="D4">
        <v>100</v>
      </c>
      <c r="E4">
        <v>0</v>
      </c>
      <c r="F4">
        <v>21</v>
      </c>
      <c r="G4">
        <v>121</v>
      </c>
      <c r="H4">
        <v>0</v>
      </c>
      <c r="J4" s="39" t="s">
        <v>9</v>
      </c>
      <c r="K4">
        <v>10546.28</v>
      </c>
      <c r="L4">
        <v>22385.45</v>
      </c>
      <c r="M4">
        <v>22351.899999999998</v>
      </c>
    </row>
    <row r="5" spans="1:13" x14ac:dyDescent="0.35">
      <c r="A5" t="s">
        <v>9</v>
      </c>
      <c r="B5" t="s">
        <v>42</v>
      </c>
      <c r="D5">
        <v>80</v>
      </c>
      <c r="E5">
        <v>0</v>
      </c>
      <c r="F5">
        <v>16.8</v>
      </c>
      <c r="G5">
        <v>96.8</v>
      </c>
      <c r="H5">
        <v>0</v>
      </c>
      <c r="J5" s="39" t="s">
        <v>81</v>
      </c>
      <c r="K5">
        <v>11846.28</v>
      </c>
      <c r="L5">
        <v>25168.100000000002</v>
      </c>
      <c r="M5">
        <v>36172.619999999995</v>
      </c>
    </row>
    <row r="6" spans="1:13" x14ac:dyDescent="0.35">
      <c r="A6" t="s">
        <v>9</v>
      </c>
      <c r="B6" t="s">
        <v>42</v>
      </c>
      <c r="D6">
        <v>150</v>
      </c>
      <c r="E6">
        <v>0</v>
      </c>
      <c r="F6">
        <v>31.5</v>
      </c>
      <c r="G6">
        <v>181.5</v>
      </c>
      <c r="H6">
        <v>0</v>
      </c>
    </row>
    <row r="7" spans="1:13" x14ac:dyDescent="0.35">
      <c r="A7" t="s">
        <v>9</v>
      </c>
      <c r="B7" t="s">
        <v>42</v>
      </c>
      <c r="D7">
        <v>100</v>
      </c>
      <c r="E7">
        <v>0</v>
      </c>
      <c r="F7">
        <v>21</v>
      </c>
      <c r="G7">
        <v>121</v>
      </c>
      <c r="H7">
        <v>0</v>
      </c>
    </row>
    <row r="8" spans="1:13" x14ac:dyDescent="0.35">
      <c r="A8" t="s">
        <v>9</v>
      </c>
      <c r="B8" t="s">
        <v>42</v>
      </c>
      <c r="D8">
        <v>150</v>
      </c>
      <c r="E8">
        <v>0</v>
      </c>
      <c r="F8">
        <v>31.5</v>
      </c>
      <c r="G8">
        <v>181.5</v>
      </c>
      <c r="H8">
        <v>0</v>
      </c>
    </row>
    <row r="9" spans="1:13" x14ac:dyDescent="0.35">
      <c r="A9" t="s">
        <v>9</v>
      </c>
      <c r="B9" t="s">
        <v>42</v>
      </c>
      <c r="D9">
        <v>150</v>
      </c>
      <c r="E9">
        <v>87.89</v>
      </c>
      <c r="F9">
        <v>31.5</v>
      </c>
      <c r="G9">
        <v>269.39</v>
      </c>
      <c r="H9">
        <v>0</v>
      </c>
    </row>
    <row r="10" spans="1:13" x14ac:dyDescent="0.35">
      <c r="A10" t="s">
        <v>9</v>
      </c>
      <c r="B10" t="s">
        <v>42</v>
      </c>
      <c r="D10">
        <v>150</v>
      </c>
      <c r="E10">
        <v>0</v>
      </c>
      <c r="F10">
        <v>31.5</v>
      </c>
      <c r="G10">
        <v>181.5</v>
      </c>
      <c r="H10">
        <v>0</v>
      </c>
    </row>
    <row r="11" spans="1:13" x14ac:dyDescent="0.35">
      <c r="A11" t="s">
        <v>9</v>
      </c>
      <c r="B11" t="s">
        <v>42</v>
      </c>
      <c r="D11">
        <v>150</v>
      </c>
      <c r="E11">
        <v>0</v>
      </c>
      <c r="F11">
        <v>31.5</v>
      </c>
      <c r="G11">
        <v>181.5</v>
      </c>
      <c r="H11">
        <v>0</v>
      </c>
    </row>
    <row r="12" spans="1:13" x14ac:dyDescent="0.35">
      <c r="A12" t="s">
        <v>9</v>
      </c>
      <c r="B12" t="s">
        <v>42</v>
      </c>
      <c r="D12">
        <v>80</v>
      </c>
      <c r="E12">
        <v>0</v>
      </c>
      <c r="F12">
        <v>16.8</v>
      </c>
      <c r="G12">
        <v>96.8</v>
      </c>
      <c r="H12">
        <v>0</v>
      </c>
    </row>
    <row r="13" spans="1:13" x14ac:dyDescent="0.35">
      <c r="A13" t="s">
        <v>8</v>
      </c>
      <c r="B13" t="s">
        <v>42</v>
      </c>
      <c r="D13">
        <v>150</v>
      </c>
      <c r="E13">
        <v>0</v>
      </c>
      <c r="F13">
        <v>31.5</v>
      </c>
      <c r="G13">
        <v>181.5</v>
      </c>
      <c r="H13">
        <v>0</v>
      </c>
    </row>
    <row r="14" spans="1:13" x14ac:dyDescent="0.35">
      <c r="A14" t="s">
        <v>9</v>
      </c>
      <c r="B14" t="s">
        <v>42</v>
      </c>
      <c r="D14">
        <v>80</v>
      </c>
      <c r="E14">
        <v>0</v>
      </c>
      <c r="F14">
        <v>16.8</v>
      </c>
      <c r="G14">
        <v>96.8</v>
      </c>
      <c r="H14">
        <v>0</v>
      </c>
    </row>
    <row r="15" spans="1:13" x14ac:dyDescent="0.35">
      <c r="A15" t="s">
        <v>9</v>
      </c>
      <c r="B15" t="s">
        <v>42</v>
      </c>
      <c r="D15">
        <v>200</v>
      </c>
      <c r="E15">
        <v>0</v>
      </c>
      <c r="F15">
        <v>42</v>
      </c>
      <c r="G15">
        <v>242</v>
      </c>
      <c r="H15">
        <v>0</v>
      </c>
    </row>
    <row r="16" spans="1:13" x14ac:dyDescent="0.35">
      <c r="A16" t="s">
        <v>9</v>
      </c>
      <c r="B16" t="s">
        <v>42</v>
      </c>
      <c r="D16">
        <v>150</v>
      </c>
      <c r="E16">
        <v>0</v>
      </c>
      <c r="F16">
        <v>31.5</v>
      </c>
      <c r="G16">
        <v>181.5</v>
      </c>
      <c r="H16">
        <v>0</v>
      </c>
    </row>
    <row r="17" spans="1:8" x14ac:dyDescent="0.35">
      <c r="A17" t="s">
        <v>9</v>
      </c>
      <c r="B17" t="s">
        <v>42</v>
      </c>
      <c r="D17">
        <v>100</v>
      </c>
      <c r="E17">
        <v>0</v>
      </c>
      <c r="F17">
        <v>21</v>
      </c>
      <c r="G17">
        <v>121</v>
      </c>
      <c r="H17">
        <v>0</v>
      </c>
    </row>
    <row r="18" spans="1:8" x14ac:dyDescent="0.35">
      <c r="A18" t="s">
        <v>9</v>
      </c>
      <c r="B18" t="s">
        <v>42</v>
      </c>
      <c r="D18">
        <v>50</v>
      </c>
      <c r="E18">
        <v>0</v>
      </c>
      <c r="F18">
        <v>10.5</v>
      </c>
      <c r="G18">
        <v>60.5</v>
      </c>
      <c r="H18">
        <v>0</v>
      </c>
    </row>
    <row r="19" spans="1:8" x14ac:dyDescent="0.35">
      <c r="A19" t="s">
        <v>9</v>
      </c>
      <c r="B19" t="s">
        <v>42</v>
      </c>
      <c r="D19">
        <v>60</v>
      </c>
      <c r="E19">
        <v>0</v>
      </c>
      <c r="F19">
        <v>12.6</v>
      </c>
      <c r="G19">
        <v>72.599999999999994</v>
      </c>
      <c r="H19">
        <v>0</v>
      </c>
    </row>
    <row r="20" spans="1:8" x14ac:dyDescent="0.35">
      <c r="A20" t="s">
        <v>9</v>
      </c>
      <c r="B20" t="s">
        <v>42</v>
      </c>
      <c r="D20">
        <v>100</v>
      </c>
      <c r="E20">
        <v>0</v>
      </c>
      <c r="F20">
        <v>21</v>
      </c>
      <c r="G20">
        <v>121</v>
      </c>
      <c r="H20">
        <v>0</v>
      </c>
    </row>
    <row r="21" spans="1:8" x14ac:dyDescent="0.35">
      <c r="A21" t="s">
        <v>9</v>
      </c>
      <c r="B21" t="s">
        <v>42</v>
      </c>
      <c r="D21">
        <v>35</v>
      </c>
      <c r="E21">
        <v>0</v>
      </c>
      <c r="F21">
        <v>7.35</v>
      </c>
      <c r="G21">
        <v>42.35</v>
      </c>
      <c r="H21">
        <v>0</v>
      </c>
    </row>
    <row r="22" spans="1:8" x14ac:dyDescent="0.35">
      <c r="A22" t="s">
        <v>9</v>
      </c>
      <c r="B22" t="s">
        <v>42</v>
      </c>
      <c r="D22">
        <v>80</v>
      </c>
      <c r="E22">
        <v>0</v>
      </c>
      <c r="F22">
        <v>16.8</v>
      </c>
      <c r="G22">
        <v>96.8</v>
      </c>
      <c r="H22">
        <v>0</v>
      </c>
    </row>
    <row r="23" spans="1:8" x14ac:dyDescent="0.35">
      <c r="A23" t="s">
        <v>9</v>
      </c>
      <c r="B23" t="s">
        <v>42</v>
      </c>
      <c r="D23">
        <v>50</v>
      </c>
      <c r="E23">
        <v>0</v>
      </c>
      <c r="F23">
        <v>10.5</v>
      </c>
      <c r="G23">
        <v>60.5</v>
      </c>
      <c r="H23">
        <v>0</v>
      </c>
    </row>
    <row r="24" spans="1:8" x14ac:dyDescent="0.35">
      <c r="A24" t="s">
        <v>9</v>
      </c>
      <c r="B24" t="s">
        <v>42</v>
      </c>
      <c r="D24">
        <v>150</v>
      </c>
      <c r="E24">
        <v>0</v>
      </c>
      <c r="F24">
        <v>31.5</v>
      </c>
      <c r="G24">
        <v>181.5</v>
      </c>
      <c r="H24">
        <v>0</v>
      </c>
    </row>
    <row r="25" spans="1:8" x14ac:dyDescent="0.35">
      <c r="A25" t="s">
        <v>9</v>
      </c>
      <c r="B25" t="s">
        <v>42</v>
      </c>
      <c r="D25">
        <v>150</v>
      </c>
      <c r="E25">
        <v>0</v>
      </c>
      <c r="F25">
        <v>31.5</v>
      </c>
      <c r="G25">
        <v>181.5</v>
      </c>
      <c r="H25">
        <v>0</v>
      </c>
    </row>
    <row r="26" spans="1:8" x14ac:dyDescent="0.35">
      <c r="A26" t="s">
        <v>9</v>
      </c>
      <c r="B26" t="s">
        <v>42</v>
      </c>
      <c r="D26">
        <v>150</v>
      </c>
      <c r="E26">
        <v>0</v>
      </c>
      <c r="F26">
        <v>31.5</v>
      </c>
      <c r="G26">
        <v>181.5</v>
      </c>
      <c r="H26">
        <v>0</v>
      </c>
    </row>
    <row r="27" spans="1:8" x14ac:dyDescent="0.35">
      <c r="A27" t="s">
        <v>9</v>
      </c>
      <c r="B27" t="s">
        <v>42</v>
      </c>
      <c r="D27">
        <v>100</v>
      </c>
      <c r="E27">
        <v>0</v>
      </c>
      <c r="F27">
        <v>21</v>
      </c>
      <c r="G27">
        <v>121</v>
      </c>
      <c r="H27">
        <v>0</v>
      </c>
    </row>
    <row r="28" spans="1:8" x14ac:dyDescent="0.35">
      <c r="A28" t="s">
        <v>9</v>
      </c>
      <c r="B28" t="s">
        <v>42</v>
      </c>
      <c r="D28">
        <v>150</v>
      </c>
      <c r="E28">
        <v>19.12</v>
      </c>
      <c r="F28">
        <v>31.5</v>
      </c>
      <c r="G28">
        <v>200.62</v>
      </c>
      <c r="H28">
        <v>0</v>
      </c>
    </row>
    <row r="29" spans="1:8" x14ac:dyDescent="0.35">
      <c r="A29" t="s">
        <v>9</v>
      </c>
      <c r="B29" t="s">
        <v>42</v>
      </c>
      <c r="D29">
        <v>95</v>
      </c>
      <c r="E29">
        <v>0</v>
      </c>
      <c r="F29">
        <v>19.95</v>
      </c>
      <c r="G29">
        <v>114.95</v>
      </c>
      <c r="H29">
        <v>0</v>
      </c>
    </row>
    <row r="30" spans="1:8" x14ac:dyDescent="0.35">
      <c r="A30" t="s">
        <v>9</v>
      </c>
      <c r="B30" t="s">
        <v>42</v>
      </c>
      <c r="D30">
        <v>100</v>
      </c>
      <c r="E30">
        <v>0</v>
      </c>
      <c r="F30">
        <v>21</v>
      </c>
      <c r="G30">
        <v>121</v>
      </c>
      <c r="H30">
        <v>0</v>
      </c>
    </row>
    <row r="31" spans="1:8" x14ac:dyDescent="0.35">
      <c r="A31" t="s">
        <v>9</v>
      </c>
      <c r="B31" t="s">
        <v>42</v>
      </c>
      <c r="D31">
        <v>150</v>
      </c>
      <c r="E31">
        <v>0</v>
      </c>
      <c r="F31">
        <v>31.5</v>
      </c>
      <c r="G31">
        <v>181.5</v>
      </c>
      <c r="H31">
        <v>0</v>
      </c>
    </row>
    <row r="32" spans="1:8" x14ac:dyDescent="0.35">
      <c r="A32" t="s">
        <v>9</v>
      </c>
      <c r="B32" t="s">
        <v>42</v>
      </c>
      <c r="D32">
        <v>150</v>
      </c>
      <c r="E32">
        <v>0</v>
      </c>
      <c r="F32">
        <v>31.5</v>
      </c>
      <c r="G32">
        <v>181.5</v>
      </c>
      <c r="H32">
        <v>0</v>
      </c>
    </row>
    <row r="33" spans="1:8" x14ac:dyDescent="0.35">
      <c r="A33" t="s">
        <v>9</v>
      </c>
      <c r="B33" t="s">
        <v>42</v>
      </c>
      <c r="D33">
        <v>100</v>
      </c>
      <c r="E33">
        <v>0</v>
      </c>
      <c r="F33">
        <v>21</v>
      </c>
      <c r="G33">
        <v>121</v>
      </c>
      <c r="H33">
        <v>0</v>
      </c>
    </row>
    <row r="34" spans="1:8" x14ac:dyDescent="0.35">
      <c r="A34" t="s">
        <v>9</v>
      </c>
      <c r="B34" t="s">
        <v>42</v>
      </c>
      <c r="D34">
        <v>100</v>
      </c>
      <c r="E34">
        <v>0</v>
      </c>
      <c r="F34">
        <v>21</v>
      </c>
      <c r="G34">
        <v>121</v>
      </c>
      <c r="H34">
        <v>0</v>
      </c>
    </row>
    <row r="35" spans="1:8" x14ac:dyDescent="0.35">
      <c r="A35" t="s">
        <v>9</v>
      </c>
      <c r="B35" t="s">
        <v>42</v>
      </c>
      <c r="D35">
        <v>200</v>
      </c>
      <c r="E35">
        <v>0</v>
      </c>
      <c r="F35">
        <v>42</v>
      </c>
      <c r="G35">
        <v>242</v>
      </c>
      <c r="H35">
        <v>0</v>
      </c>
    </row>
    <row r="36" spans="1:8" x14ac:dyDescent="0.35">
      <c r="A36" t="s">
        <v>9</v>
      </c>
      <c r="B36" t="s">
        <v>42</v>
      </c>
      <c r="D36">
        <v>200</v>
      </c>
      <c r="E36">
        <v>0</v>
      </c>
      <c r="F36">
        <v>42</v>
      </c>
      <c r="G36">
        <v>242</v>
      </c>
      <c r="H36">
        <v>0</v>
      </c>
    </row>
    <row r="37" spans="1:8" x14ac:dyDescent="0.35">
      <c r="A37" t="s">
        <v>9</v>
      </c>
      <c r="B37" t="s">
        <v>42</v>
      </c>
      <c r="D37">
        <v>100</v>
      </c>
      <c r="E37">
        <v>0</v>
      </c>
      <c r="F37">
        <v>21</v>
      </c>
      <c r="G37">
        <v>121</v>
      </c>
      <c r="H37">
        <v>0</v>
      </c>
    </row>
    <row r="38" spans="1:8" x14ac:dyDescent="0.35">
      <c r="A38" t="s">
        <v>9</v>
      </c>
      <c r="B38" t="s">
        <v>42</v>
      </c>
      <c r="D38">
        <v>80</v>
      </c>
      <c r="E38">
        <v>0</v>
      </c>
      <c r="F38">
        <v>16.8</v>
      </c>
      <c r="G38">
        <v>96.8</v>
      </c>
      <c r="H38">
        <v>0</v>
      </c>
    </row>
    <row r="39" spans="1:8" x14ac:dyDescent="0.35">
      <c r="A39" t="s">
        <v>8</v>
      </c>
      <c r="B39" t="s">
        <v>42</v>
      </c>
      <c r="D39">
        <v>880.65</v>
      </c>
      <c r="E39">
        <v>0</v>
      </c>
      <c r="F39">
        <v>184.94</v>
      </c>
      <c r="G39" s="1">
        <v>1065.5899999999999</v>
      </c>
      <c r="H39">
        <v>0</v>
      </c>
    </row>
    <row r="40" spans="1:8" x14ac:dyDescent="0.35">
      <c r="A40" t="s">
        <v>9</v>
      </c>
      <c r="B40" t="s">
        <v>42</v>
      </c>
      <c r="D40">
        <v>150</v>
      </c>
      <c r="E40">
        <v>4.2699999999999996</v>
      </c>
      <c r="F40">
        <v>31.5</v>
      </c>
      <c r="G40">
        <v>185.77</v>
      </c>
      <c r="H40">
        <v>0</v>
      </c>
    </row>
    <row r="41" spans="1:8" x14ac:dyDescent="0.35">
      <c r="A41" t="s">
        <v>9</v>
      </c>
      <c r="B41" t="s">
        <v>42</v>
      </c>
      <c r="D41">
        <v>100</v>
      </c>
      <c r="E41">
        <v>0</v>
      </c>
      <c r="F41">
        <v>21</v>
      </c>
      <c r="G41">
        <v>121</v>
      </c>
      <c r="H41">
        <v>0</v>
      </c>
    </row>
    <row r="42" spans="1:8" x14ac:dyDescent="0.35">
      <c r="A42" t="s">
        <v>8</v>
      </c>
      <c r="B42" t="s">
        <v>42</v>
      </c>
      <c r="D42">
        <v>169.35</v>
      </c>
      <c r="E42">
        <v>0</v>
      </c>
      <c r="F42">
        <v>35.56</v>
      </c>
      <c r="G42">
        <v>204.91</v>
      </c>
      <c r="H42">
        <v>0</v>
      </c>
    </row>
    <row r="43" spans="1:8" x14ac:dyDescent="0.35">
      <c r="A43" t="s">
        <v>9</v>
      </c>
      <c r="B43" t="s">
        <v>42</v>
      </c>
      <c r="D43">
        <v>150</v>
      </c>
      <c r="E43">
        <v>0</v>
      </c>
      <c r="F43">
        <v>31.5</v>
      </c>
      <c r="G43">
        <v>181.5</v>
      </c>
      <c r="H43">
        <v>181.5</v>
      </c>
    </row>
    <row r="44" spans="1:8" x14ac:dyDescent="0.35">
      <c r="A44" t="s">
        <v>9</v>
      </c>
      <c r="B44" t="s">
        <v>42</v>
      </c>
      <c r="D44">
        <v>50</v>
      </c>
      <c r="E44">
        <v>0</v>
      </c>
      <c r="F44">
        <v>10.5</v>
      </c>
      <c r="G44">
        <v>60.5</v>
      </c>
      <c r="H44">
        <v>0</v>
      </c>
    </row>
    <row r="45" spans="1:8" x14ac:dyDescent="0.35">
      <c r="A45" t="s">
        <v>8</v>
      </c>
      <c r="B45" t="s">
        <v>42</v>
      </c>
      <c r="D45">
        <v>100</v>
      </c>
      <c r="E45">
        <v>0</v>
      </c>
      <c r="F45">
        <v>21</v>
      </c>
      <c r="G45">
        <v>121</v>
      </c>
      <c r="H45">
        <v>0</v>
      </c>
    </row>
    <row r="46" spans="1:8" x14ac:dyDescent="0.35">
      <c r="A46" t="s">
        <v>9</v>
      </c>
      <c r="B46" t="s">
        <v>42</v>
      </c>
      <c r="D46">
        <v>80</v>
      </c>
      <c r="E46">
        <v>0</v>
      </c>
      <c r="F46">
        <v>16.8</v>
      </c>
      <c r="G46">
        <v>96.8</v>
      </c>
      <c r="H46">
        <v>0</v>
      </c>
    </row>
    <row r="47" spans="1:8" x14ac:dyDescent="0.35">
      <c r="A47" t="s">
        <v>9</v>
      </c>
      <c r="B47" t="s">
        <v>42</v>
      </c>
      <c r="D47">
        <v>300</v>
      </c>
      <c r="E47">
        <v>0</v>
      </c>
      <c r="F47">
        <v>63</v>
      </c>
      <c r="G47">
        <v>363</v>
      </c>
      <c r="H47">
        <v>0</v>
      </c>
    </row>
    <row r="48" spans="1:8" x14ac:dyDescent="0.35">
      <c r="A48" t="s">
        <v>9</v>
      </c>
      <c r="B48" t="s">
        <v>42</v>
      </c>
      <c r="D48">
        <v>300</v>
      </c>
      <c r="E48">
        <v>0</v>
      </c>
      <c r="F48">
        <v>63</v>
      </c>
      <c r="G48">
        <v>363</v>
      </c>
      <c r="H48">
        <v>0</v>
      </c>
    </row>
    <row r="49" spans="1:8" x14ac:dyDescent="0.35">
      <c r="A49" t="s">
        <v>9</v>
      </c>
      <c r="B49" t="s">
        <v>42</v>
      </c>
      <c r="D49">
        <v>400</v>
      </c>
      <c r="E49">
        <v>10</v>
      </c>
      <c r="F49">
        <v>84</v>
      </c>
      <c r="G49">
        <v>494</v>
      </c>
      <c r="H49">
        <v>0</v>
      </c>
    </row>
    <row r="50" spans="1:8" x14ac:dyDescent="0.35">
      <c r="A50" t="s">
        <v>9</v>
      </c>
      <c r="B50" t="s">
        <v>42</v>
      </c>
      <c r="D50">
        <v>200</v>
      </c>
      <c r="E50">
        <v>0</v>
      </c>
      <c r="F50">
        <v>42</v>
      </c>
      <c r="G50">
        <v>242</v>
      </c>
      <c r="H50">
        <v>0</v>
      </c>
    </row>
    <row r="51" spans="1:8" x14ac:dyDescent="0.35">
      <c r="A51" t="s">
        <v>9</v>
      </c>
      <c r="B51" t="s">
        <v>42</v>
      </c>
      <c r="D51">
        <v>833.33</v>
      </c>
      <c r="E51">
        <v>0</v>
      </c>
      <c r="F51">
        <v>175</v>
      </c>
      <c r="G51" s="1">
        <v>1008.33</v>
      </c>
      <c r="H51">
        <v>0</v>
      </c>
    </row>
    <row r="52" spans="1:8" x14ac:dyDescent="0.35">
      <c r="A52" t="s">
        <v>9</v>
      </c>
      <c r="B52" t="s">
        <v>42</v>
      </c>
      <c r="D52">
        <v>500</v>
      </c>
      <c r="E52">
        <v>0</v>
      </c>
      <c r="F52">
        <v>105</v>
      </c>
      <c r="G52">
        <v>605</v>
      </c>
      <c r="H52">
        <v>0</v>
      </c>
    </row>
    <row r="53" spans="1:8" x14ac:dyDescent="0.35">
      <c r="A53" t="s">
        <v>9</v>
      </c>
      <c r="B53" t="s">
        <v>42</v>
      </c>
      <c r="D53">
        <v>400</v>
      </c>
      <c r="E53">
        <v>0</v>
      </c>
      <c r="F53">
        <v>84</v>
      </c>
      <c r="G53">
        <v>484</v>
      </c>
      <c r="H53">
        <v>0</v>
      </c>
    </row>
    <row r="54" spans="1:8" x14ac:dyDescent="0.35">
      <c r="A54" t="s">
        <v>9</v>
      </c>
      <c r="B54" t="s">
        <v>42</v>
      </c>
      <c r="D54">
        <v>500</v>
      </c>
      <c r="E54">
        <v>0</v>
      </c>
      <c r="F54">
        <v>105</v>
      </c>
      <c r="G54">
        <v>605</v>
      </c>
      <c r="H54">
        <v>0</v>
      </c>
    </row>
    <row r="55" spans="1:8" x14ac:dyDescent="0.35">
      <c r="A55" t="s">
        <v>9</v>
      </c>
      <c r="B55" t="s">
        <v>42</v>
      </c>
      <c r="D55">
        <v>106.29</v>
      </c>
      <c r="E55">
        <v>0</v>
      </c>
      <c r="F55">
        <v>22.32</v>
      </c>
      <c r="G55">
        <v>128.61000000000001</v>
      </c>
      <c r="H55">
        <v>0</v>
      </c>
    </row>
    <row r="56" spans="1:8" x14ac:dyDescent="0.35">
      <c r="A56" t="s">
        <v>9</v>
      </c>
      <c r="B56" t="s">
        <v>42</v>
      </c>
      <c r="D56">
        <v>300</v>
      </c>
      <c r="E56">
        <v>0</v>
      </c>
      <c r="F56">
        <v>63</v>
      </c>
      <c r="G56">
        <v>363</v>
      </c>
      <c r="H56">
        <v>0</v>
      </c>
    </row>
    <row r="57" spans="1:8" x14ac:dyDescent="0.35">
      <c r="A57" t="s">
        <v>9</v>
      </c>
      <c r="B57" t="s">
        <v>42</v>
      </c>
      <c r="D57">
        <v>120</v>
      </c>
      <c r="E57">
        <v>0</v>
      </c>
      <c r="F57">
        <v>25.2</v>
      </c>
      <c r="G57">
        <v>145.19999999999999</v>
      </c>
      <c r="H57">
        <v>0</v>
      </c>
    </row>
    <row r="58" spans="1:8" x14ac:dyDescent="0.35">
      <c r="A58" t="s">
        <v>9</v>
      </c>
      <c r="B58" t="s">
        <v>42</v>
      </c>
      <c r="D58">
        <v>416.66</v>
      </c>
      <c r="E58">
        <v>0</v>
      </c>
      <c r="F58">
        <v>87.5</v>
      </c>
      <c r="G58">
        <v>504.16</v>
      </c>
      <c r="H58">
        <v>0</v>
      </c>
    </row>
    <row r="59" spans="1:8" x14ac:dyDescent="0.35">
      <c r="A59" t="s">
        <v>9</v>
      </c>
      <c r="B59" t="s">
        <v>42</v>
      </c>
      <c r="D59" s="1">
        <v>1400</v>
      </c>
      <c r="E59">
        <v>0</v>
      </c>
      <c r="F59">
        <v>294</v>
      </c>
      <c r="G59" s="1">
        <v>1694</v>
      </c>
      <c r="H59">
        <v>0</v>
      </c>
    </row>
    <row r="60" spans="1:8" x14ac:dyDescent="0.35">
      <c r="A60" t="s">
        <v>9</v>
      </c>
      <c r="B60" t="s">
        <v>43</v>
      </c>
      <c r="D60">
        <v>80</v>
      </c>
      <c r="E60">
        <v>0</v>
      </c>
      <c r="F60">
        <v>16.8</v>
      </c>
      <c r="G60">
        <v>96.8</v>
      </c>
      <c r="H60">
        <v>0</v>
      </c>
    </row>
    <row r="61" spans="1:8" x14ac:dyDescent="0.35">
      <c r="A61" t="s">
        <v>9</v>
      </c>
      <c r="B61" t="s">
        <v>43</v>
      </c>
      <c r="D61">
        <v>100</v>
      </c>
      <c r="E61">
        <v>0</v>
      </c>
      <c r="F61">
        <v>21</v>
      </c>
      <c r="G61">
        <v>121</v>
      </c>
      <c r="H61">
        <v>0</v>
      </c>
    </row>
    <row r="62" spans="1:8" x14ac:dyDescent="0.35">
      <c r="A62" t="s">
        <v>9</v>
      </c>
      <c r="B62" t="s">
        <v>43</v>
      </c>
      <c r="D62" s="1">
        <v>1000</v>
      </c>
      <c r="E62">
        <v>0</v>
      </c>
      <c r="F62">
        <v>210</v>
      </c>
      <c r="G62" s="1">
        <v>1210</v>
      </c>
      <c r="H62">
        <v>0</v>
      </c>
    </row>
    <row r="63" spans="1:8" x14ac:dyDescent="0.35">
      <c r="A63" t="s">
        <v>8</v>
      </c>
      <c r="B63" t="s">
        <v>43</v>
      </c>
      <c r="D63">
        <v>169.35</v>
      </c>
      <c r="E63">
        <v>0</v>
      </c>
      <c r="F63">
        <v>35.56</v>
      </c>
      <c r="G63">
        <v>204.91</v>
      </c>
      <c r="H63">
        <v>0</v>
      </c>
    </row>
    <row r="64" spans="1:8" x14ac:dyDescent="0.35">
      <c r="A64" t="s">
        <v>9</v>
      </c>
      <c r="B64" t="s">
        <v>43</v>
      </c>
      <c r="D64">
        <v>100</v>
      </c>
      <c r="E64">
        <v>0</v>
      </c>
      <c r="F64">
        <v>21</v>
      </c>
      <c r="G64">
        <v>121</v>
      </c>
      <c r="H64">
        <v>0</v>
      </c>
    </row>
    <row r="65" spans="1:8" x14ac:dyDescent="0.35">
      <c r="A65" t="s">
        <v>9</v>
      </c>
      <c r="B65" t="s">
        <v>43</v>
      </c>
      <c r="D65">
        <v>470.12</v>
      </c>
      <c r="E65">
        <v>0</v>
      </c>
      <c r="F65">
        <v>98.73</v>
      </c>
      <c r="G65">
        <v>568.85</v>
      </c>
      <c r="H65">
        <v>0</v>
      </c>
    </row>
    <row r="66" spans="1:8" x14ac:dyDescent="0.35">
      <c r="A66" t="s">
        <v>9</v>
      </c>
      <c r="B66" t="s">
        <v>43</v>
      </c>
      <c r="D66">
        <v>100</v>
      </c>
      <c r="E66">
        <v>0</v>
      </c>
      <c r="F66">
        <v>21</v>
      </c>
      <c r="G66">
        <v>121</v>
      </c>
      <c r="H66">
        <v>0</v>
      </c>
    </row>
    <row r="67" spans="1:8" x14ac:dyDescent="0.35">
      <c r="A67" t="s">
        <v>9</v>
      </c>
      <c r="B67" t="s">
        <v>43</v>
      </c>
      <c r="D67">
        <v>100</v>
      </c>
      <c r="E67">
        <v>0</v>
      </c>
      <c r="F67">
        <v>21</v>
      </c>
      <c r="G67">
        <v>121</v>
      </c>
      <c r="H67">
        <v>0</v>
      </c>
    </row>
    <row r="68" spans="1:8" x14ac:dyDescent="0.35">
      <c r="A68" t="s">
        <v>9</v>
      </c>
      <c r="B68" t="s">
        <v>43</v>
      </c>
      <c r="D68">
        <v>150</v>
      </c>
      <c r="E68">
        <v>0</v>
      </c>
      <c r="F68">
        <v>31.5</v>
      </c>
      <c r="G68">
        <v>181.5</v>
      </c>
      <c r="H68">
        <v>0</v>
      </c>
    </row>
    <row r="69" spans="1:8" x14ac:dyDescent="0.35">
      <c r="A69" t="s">
        <v>9</v>
      </c>
      <c r="B69" t="s">
        <v>43</v>
      </c>
      <c r="D69">
        <v>100</v>
      </c>
      <c r="E69">
        <v>0</v>
      </c>
      <c r="F69">
        <v>21</v>
      </c>
      <c r="G69">
        <v>121</v>
      </c>
      <c r="H69">
        <v>0</v>
      </c>
    </row>
    <row r="70" spans="1:8" x14ac:dyDescent="0.35">
      <c r="A70" t="s">
        <v>9</v>
      </c>
      <c r="B70" t="s">
        <v>43</v>
      </c>
      <c r="D70">
        <v>150</v>
      </c>
      <c r="E70">
        <v>0</v>
      </c>
      <c r="F70">
        <v>31.5</v>
      </c>
      <c r="G70">
        <v>181.5</v>
      </c>
      <c r="H70">
        <v>0</v>
      </c>
    </row>
    <row r="71" spans="1:8" x14ac:dyDescent="0.35">
      <c r="A71" t="s">
        <v>9</v>
      </c>
      <c r="B71" t="s">
        <v>43</v>
      </c>
      <c r="D71">
        <v>80</v>
      </c>
      <c r="E71">
        <v>0</v>
      </c>
      <c r="F71">
        <v>16.8</v>
      </c>
      <c r="G71">
        <v>96.8</v>
      </c>
      <c r="H71">
        <v>0</v>
      </c>
    </row>
    <row r="72" spans="1:8" x14ac:dyDescent="0.35">
      <c r="A72" t="s">
        <v>9</v>
      </c>
      <c r="B72" t="s">
        <v>43</v>
      </c>
      <c r="D72">
        <v>550</v>
      </c>
      <c r="E72">
        <v>0</v>
      </c>
      <c r="F72">
        <v>115.5</v>
      </c>
      <c r="G72">
        <v>665.5</v>
      </c>
      <c r="H72">
        <v>0</v>
      </c>
    </row>
    <row r="73" spans="1:8" x14ac:dyDescent="0.35">
      <c r="A73" t="s">
        <v>9</v>
      </c>
      <c r="B73" t="s">
        <v>43</v>
      </c>
      <c r="D73">
        <v>150</v>
      </c>
      <c r="E73">
        <v>0</v>
      </c>
      <c r="F73">
        <v>31.5</v>
      </c>
      <c r="G73">
        <v>181.5</v>
      </c>
      <c r="H73">
        <v>0</v>
      </c>
    </row>
    <row r="74" spans="1:8" x14ac:dyDescent="0.35">
      <c r="A74" t="s">
        <v>9</v>
      </c>
      <c r="B74" t="s">
        <v>43</v>
      </c>
      <c r="D74">
        <v>200</v>
      </c>
      <c r="E74">
        <v>0</v>
      </c>
      <c r="F74">
        <v>42</v>
      </c>
      <c r="G74">
        <v>242</v>
      </c>
      <c r="H74">
        <v>0</v>
      </c>
    </row>
    <row r="75" spans="1:8" x14ac:dyDescent="0.35">
      <c r="A75" t="s">
        <v>9</v>
      </c>
      <c r="B75" t="s">
        <v>43</v>
      </c>
      <c r="D75">
        <v>150</v>
      </c>
      <c r="E75">
        <v>0</v>
      </c>
      <c r="F75">
        <v>31.5</v>
      </c>
      <c r="G75">
        <v>181.5</v>
      </c>
      <c r="H75">
        <v>0</v>
      </c>
    </row>
    <row r="76" spans="1:8" x14ac:dyDescent="0.35">
      <c r="A76" t="s">
        <v>9</v>
      </c>
      <c r="B76" t="s">
        <v>43</v>
      </c>
      <c r="D76">
        <v>80</v>
      </c>
      <c r="E76">
        <v>0</v>
      </c>
      <c r="F76">
        <v>16.8</v>
      </c>
      <c r="G76">
        <v>96.8</v>
      </c>
      <c r="H76">
        <v>0</v>
      </c>
    </row>
    <row r="77" spans="1:8" x14ac:dyDescent="0.35">
      <c r="A77" t="s">
        <v>8</v>
      </c>
      <c r="B77" t="s">
        <v>43</v>
      </c>
      <c r="D77">
        <v>100</v>
      </c>
      <c r="E77">
        <v>0</v>
      </c>
      <c r="F77">
        <v>21</v>
      </c>
      <c r="G77">
        <v>121</v>
      </c>
      <c r="H77">
        <v>0</v>
      </c>
    </row>
    <row r="78" spans="1:8" x14ac:dyDescent="0.35">
      <c r="A78" t="s">
        <v>9</v>
      </c>
      <c r="B78" t="s">
        <v>43</v>
      </c>
      <c r="D78">
        <v>150</v>
      </c>
      <c r="E78">
        <v>0</v>
      </c>
      <c r="F78">
        <v>31.5</v>
      </c>
      <c r="G78">
        <v>181.5</v>
      </c>
      <c r="H78">
        <v>0</v>
      </c>
    </row>
    <row r="79" spans="1:8" x14ac:dyDescent="0.35">
      <c r="A79" t="s">
        <v>8</v>
      </c>
      <c r="B79" t="s">
        <v>43</v>
      </c>
      <c r="D79">
        <v>300</v>
      </c>
      <c r="E79">
        <v>0</v>
      </c>
      <c r="F79">
        <v>63</v>
      </c>
      <c r="G79">
        <v>363</v>
      </c>
      <c r="H79">
        <v>0</v>
      </c>
    </row>
    <row r="80" spans="1:8" x14ac:dyDescent="0.35">
      <c r="A80" t="s">
        <v>9</v>
      </c>
      <c r="B80" t="s">
        <v>43</v>
      </c>
      <c r="D80">
        <v>300</v>
      </c>
      <c r="E80">
        <v>0</v>
      </c>
      <c r="F80">
        <v>63</v>
      </c>
      <c r="G80">
        <v>363</v>
      </c>
      <c r="H80">
        <v>0</v>
      </c>
    </row>
    <row r="81" spans="1:8" x14ac:dyDescent="0.35">
      <c r="A81" t="s">
        <v>9</v>
      </c>
      <c r="B81" t="s">
        <v>43</v>
      </c>
      <c r="D81">
        <v>150</v>
      </c>
      <c r="E81">
        <v>0</v>
      </c>
      <c r="F81">
        <v>31.5</v>
      </c>
      <c r="G81">
        <v>181.5</v>
      </c>
      <c r="H81">
        <v>0</v>
      </c>
    </row>
    <row r="82" spans="1:8" x14ac:dyDescent="0.35">
      <c r="A82" t="s">
        <v>9</v>
      </c>
      <c r="B82" t="s">
        <v>43</v>
      </c>
      <c r="D82">
        <v>95</v>
      </c>
      <c r="E82">
        <v>0</v>
      </c>
      <c r="F82">
        <v>19.95</v>
      </c>
      <c r="G82">
        <v>114.95</v>
      </c>
      <c r="H82">
        <v>0</v>
      </c>
    </row>
    <row r="83" spans="1:8" x14ac:dyDescent="0.35">
      <c r="A83" t="s">
        <v>8</v>
      </c>
      <c r="B83" t="s">
        <v>43</v>
      </c>
      <c r="D83">
        <v>150</v>
      </c>
      <c r="E83">
        <v>0</v>
      </c>
      <c r="F83">
        <v>31.5</v>
      </c>
      <c r="G83">
        <v>181.5</v>
      </c>
      <c r="H83">
        <v>0</v>
      </c>
    </row>
    <row r="84" spans="1:8" x14ac:dyDescent="0.35">
      <c r="A84" t="s">
        <v>9</v>
      </c>
      <c r="B84" t="s">
        <v>43</v>
      </c>
      <c r="D84">
        <v>300</v>
      </c>
      <c r="E84">
        <v>0</v>
      </c>
      <c r="F84">
        <v>63</v>
      </c>
      <c r="G84">
        <v>363</v>
      </c>
      <c r="H84">
        <v>0</v>
      </c>
    </row>
    <row r="85" spans="1:8" x14ac:dyDescent="0.35">
      <c r="A85" t="s">
        <v>9</v>
      </c>
      <c r="B85" t="s">
        <v>43</v>
      </c>
      <c r="D85">
        <v>50</v>
      </c>
      <c r="E85">
        <v>0</v>
      </c>
      <c r="F85">
        <v>10.5</v>
      </c>
      <c r="G85">
        <v>60.5</v>
      </c>
      <c r="H85">
        <v>0</v>
      </c>
    </row>
    <row r="86" spans="1:8" x14ac:dyDescent="0.35">
      <c r="A86" t="s">
        <v>9</v>
      </c>
      <c r="B86" t="s">
        <v>43</v>
      </c>
      <c r="D86">
        <v>150</v>
      </c>
      <c r="E86">
        <v>0</v>
      </c>
      <c r="F86">
        <v>31.5</v>
      </c>
      <c r="G86">
        <v>181.5</v>
      </c>
      <c r="H86">
        <v>0</v>
      </c>
    </row>
    <row r="87" spans="1:8" x14ac:dyDescent="0.35">
      <c r="A87" t="s">
        <v>9</v>
      </c>
      <c r="B87" t="s">
        <v>43</v>
      </c>
      <c r="D87">
        <v>35</v>
      </c>
      <c r="E87">
        <v>0</v>
      </c>
      <c r="F87">
        <v>7.35</v>
      </c>
      <c r="G87">
        <v>42.35</v>
      </c>
      <c r="H87">
        <v>0</v>
      </c>
    </row>
    <row r="88" spans="1:8" x14ac:dyDescent="0.35">
      <c r="A88" t="s">
        <v>9</v>
      </c>
      <c r="B88" t="s">
        <v>43</v>
      </c>
      <c r="D88">
        <v>150</v>
      </c>
      <c r="E88">
        <v>0</v>
      </c>
      <c r="F88">
        <v>31.5</v>
      </c>
      <c r="G88">
        <v>181.5</v>
      </c>
      <c r="H88">
        <v>0</v>
      </c>
    </row>
    <row r="89" spans="1:8" x14ac:dyDescent="0.35">
      <c r="A89" t="s">
        <v>9</v>
      </c>
      <c r="B89" t="s">
        <v>43</v>
      </c>
      <c r="D89">
        <v>100</v>
      </c>
      <c r="E89">
        <v>0</v>
      </c>
      <c r="F89">
        <v>21</v>
      </c>
      <c r="G89">
        <v>121</v>
      </c>
      <c r="H89">
        <v>0</v>
      </c>
    </row>
    <row r="90" spans="1:8" x14ac:dyDescent="0.35">
      <c r="A90" t="s">
        <v>9</v>
      </c>
      <c r="B90" t="s">
        <v>43</v>
      </c>
      <c r="D90">
        <v>100</v>
      </c>
      <c r="E90">
        <v>0</v>
      </c>
      <c r="F90">
        <v>21</v>
      </c>
      <c r="G90">
        <v>121</v>
      </c>
      <c r="H90">
        <v>0</v>
      </c>
    </row>
    <row r="91" spans="1:8" x14ac:dyDescent="0.35">
      <c r="A91" t="s">
        <v>9</v>
      </c>
      <c r="B91" t="s">
        <v>43</v>
      </c>
      <c r="D91">
        <v>80</v>
      </c>
      <c r="E91">
        <v>0</v>
      </c>
      <c r="F91">
        <v>16.8</v>
      </c>
      <c r="G91">
        <v>96.8</v>
      </c>
      <c r="H91">
        <v>0</v>
      </c>
    </row>
    <row r="92" spans="1:8" x14ac:dyDescent="0.35">
      <c r="A92" t="s">
        <v>9</v>
      </c>
      <c r="B92" t="s">
        <v>43</v>
      </c>
      <c r="D92">
        <v>200</v>
      </c>
      <c r="E92">
        <v>0</v>
      </c>
      <c r="F92">
        <v>42</v>
      </c>
      <c r="G92">
        <v>242</v>
      </c>
      <c r="H92">
        <v>0</v>
      </c>
    </row>
    <row r="93" spans="1:8" x14ac:dyDescent="0.35">
      <c r="A93" t="s">
        <v>9</v>
      </c>
      <c r="B93" t="s">
        <v>43</v>
      </c>
      <c r="D93" s="1">
        <v>3206.08</v>
      </c>
      <c r="E93">
        <v>0</v>
      </c>
      <c r="F93">
        <v>673.28</v>
      </c>
      <c r="G93" s="1">
        <v>3879.36</v>
      </c>
      <c r="H93">
        <v>0</v>
      </c>
    </row>
    <row r="94" spans="1:8" x14ac:dyDescent="0.35">
      <c r="A94" t="s">
        <v>9</v>
      </c>
      <c r="B94" t="s">
        <v>43</v>
      </c>
      <c r="D94">
        <v>100</v>
      </c>
      <c r="E94">
        <v>0</v>
      </c>
      <c r="F94">
        <v>21</v>
      </c>
      <c r="G94">
        <v>121</v>
      </c>
      <c r="H94">
        <v>0</v>
      </c>
    </row>
    <row r="95" spans="1:8" x14ac:dyDescent="0.35">
      <c r="A95" t="s">
        <v>9</v>
      </c>
      <c r="B95" t="s">
        <v>43</v>
      </c>
      <c r="D95">
        <v>150</v>
      </c>
      <c r="E95">
        <v>0</v>
      </c>
      <c r="F95">
        <v>31.5</v>
      </c>
      <c r="G95">
        <v>181.5</v>
      </c>
      <c r="H95">
        <v>0</v>
      </c>
    </row>
    <row r="96" spans="1:8" x14ac:dyDescent="0.35">
      <c r="A96" t="s">
        <v>9</v>
      </c>
      <c r="B96" t="s">
        <v>43</v>
      </c>
      <c r="D96">
        <v>50</v>
      </c>
      <c r="E96">
        <v>0</v>
      </c>
      <c r="F96">
        <v>10.5</v>
      </c>
      <c r="G96">
        <v>60.5</v>
      </c>
      <c r="H96">
        <v>0</v>
      </c>
    </row>
    <row r="97" spans="1:8" x14ac:dyDescent="0.35">
      <c r="A97" t="s">
        <v>9</v>
      </c>
      <c r="B97" t="s">
        <v>43</v>
      </c>
      <c r="D97">
        <v>400</v>
      </c>
      <c r="E97">
        <v>10</v>
      </c>
      <c r="F97">
        <v>84</v>
      </c>
      <c r="G97">
        <v>494</v>
      </c>
      <c r="H97">
        <v>0</v>
      </c>
    </row>
    <row r="98" spans="1:8" x14ac:dyDescent="0.35">
      <c r="A98" t="s">
        <v>9</v>
      </c>
      <c r="B98" t="s">
        <v>43</v>
      </c>
      <c r="D98">
        <v>50</v>
      </c>
      <c r="E98">
        <v>0</v>
      </c>
      <c r="F98">
        <v>10.5</v>
      </c>
      <c r="G98">
        <v>60.5</v>
      </c>
      <c r="H98">
        <v>0</v>
      </c>
    </row>
    <row r="99" spans="1:8" x14ac:dyDescent="0.35">
      <c r="A99" t="s">
        <v>9</v>
      </c>
      <c r="B99" t="s">
        <v>43</v>
      </c>
      <c r="D99">
        <v>100</v>
      </c>
      <c r="E99">
        <v>0</v>
      </c>
      <c r="F99">
        <v>21</v>
      </c>
      <c r="G99">
        <v>121</v>
      </c>
      <c r="H99">
        <v>0</v>
      </c>
    </row>
    <row r="100" spans="1:8" x14ac:dyDescent="0.35">
      <c r="A100" t="s">
        <v>9</v>
      </c>
      <c r="B100" t="s">
        <v>43</v>
      </c>
      <c r="D100">
        <v>60</v>
      </c>
      <c r="E100">
        <v>0</v>
      </c>
      <c r="F100">
        <v>12.6</v>
      </c>
      <c r="G100">
        <v>72.599999999999994</v>
      </c>
      <c r="H100">
        <v>0</v>
      </c>
    </row>
    <row r="101" spans="1:8" x14ac:dyDescent="0.35">
      <c r="A101" t="s">
        <v>8</v>
      </c>
      <c r="B101" t="s">
        <v>43</v>
      </c>
      <c r="D101">
        <v>880.65</v>
      </c>
      <c r="E101">
        <v>0</v>
      </c>
      <c r="F101">
        <v>184.94</v>
      </c>
      <c r="G101" s="1">
        <v>1065.5899999999999</v>
      </c>
      <c r="H101">
        <v>0</v>
      </c>
    </row>
    <row r="102" spans="1:8" x14ac:dyDescent="0.35">
      <c r="A102" t="s">
        <v>9</v>
      </c>
      <c r="B102" t="s">
        <v>43</v>
      </c>
      <c r="D102">
        <v>833.33</v>
      </c>
      <c r="E102">
        <v>0</v>
      </c>
      <c r="F102">
        <v>175</v>
      </c>
      <c r="G102" s="1">
        <v>1008.33</v>
      </c>
      <c r="H102">
        <v>0</v>
      </c>
    </row>
    <row r="103" spans="1:8" x14ac:dyDescent="0.35">
      <c r="A103" t="s">
        <v>9</v>
      </c>
      <c r="B103" t="s">
        <v>43</v>
      </c>
      <c r="D103">
        <v>150</v>
      </c>
      <c r="E103">
        <v>0</v>
      </c>
      <c r="F103">
        <v>31.5</v>
      </c>
      <c r="G103">
        <v>181.5</v>
      </c>
      <c r="H103">
        <v>0</v>
      </c>
    </row>
    <row r="104" spans="1:8" x14ac:dyDescent="0.35">
      <c r="A104" t="s">
        <v>9</v>
      </c>
      <c r="B104" t="s">
        <v>43</v>
      </c>
      <c r="D104">
        <v>100</v>
      </c>
      <c r="E104">
        <v>0</v>
      </c>
      <c r="F104">
        <v>21</v>
      </c>
      <c r="G104">
        <v>121</v>
      </c>
      <c r="H104">
        <v>0</v>
      </c>
    </row>
    <row r="105" spans="1:8" x14ac:dyDescent="0.35">
      <c r="A105" t="s">
        <v>9</v>
      </c>
      <c r="B105" t="s">
        <v>43</v>
      </c>
      <c r="D105">
        <v>150</v>
      </c>
      <c r="E105">
        <v>0</v>
      </c>
      <c r="F105">
        <v>31.5</v>
      </c>
      <c r="G105">
        <v>181.5</v>
      </c>
      <c r="H105">
        <v>0</v>
      </c>
    </row>
    <row r="106" spans="1:8" x14ac:dyDescent="0.35">
      <c r="A106" t="s">
        <v>9</v>
      </c>
      <c r="B106" t="s">
        <v>43</v>
      </c>
      <c r="D106" s="1">
        <v>1500</v>
      </c>
      <c r="E106">
        <v>0</v>
      </c>
      <c r="F106">
        <v>315</v>
      </c>
      <c r="G106" s="1">
        <v>1815</v>
      </c>
      <c r="H106">
        <v>0</v>
      </c>
    </row>
    <row r="107" spans="1:8" x14ac:dyDescent="0.35">
      <c r="A107" t="s">
        <v>9</v>
      </c>
      <c r="B107" t="s">
        <v>43</v>
      </c>
      <c r="D107">
        <v>125</v>
      </c>
      <c r="E107">
        <v>0</v>
      </c>
      <c r="F107">
        <v>26.25</v>
      </c>
      <c r="G107">
        <v>151.25</v>
      </c>
      <c r="H107">
        <v>0</v>
      </c>
    </row>
    <row r="108" spans="1:8" x14ac:dyDescent="0.35">
      <c r="A108" t="s">
        <v>9</v>
      </c>
      <c r="B108" t="s">
        <v>43</v>
      </c>
      <c r="D108">
        <v>200</v>
      </c>
      <c r="E108">
        <v>0</v>
      </c>
      <c r="F108">
        <v>42</v>
      </c>
      <c r="G108">
        <v>242</v>
      </c>
      <c r="H108">
        <v>0</v>
      </c>
    </row>
    <row r="109" spans="1:8" x14ac:dyDescent="0.35">
      <c r="A109" t="s">
        <v>9</v>
      </c>
      <c r="B109" t="s">
        <v>43</v>
      </c>
      <c r="D109">
        <v>150</v>
      </c>
      <c r="E109">
        <v>0</v>
      </c>
      <c r="F109">
        <v>31.5</v>
      </c>
      <c r="G109">
        <v>181.5</v>
      </c>
      <c r="H109">
        <v>0</v>
      </c>
    </row>
    <row r="110" spans="1:8" x14ac:dyDescent="0.35">
      <c r="A110" t="s">
        <v>9</v>
      </c>
      <c r="B110" t="s">
        <v>43</v>
      </c>
      <c r="D110">
        <v>150</v>
      </c>
      <c r="E110">
        <v>84.51</v>
      </c>
      <c r="F110">
        <v>31.5</v>
      </c>
      <c r="G110">
        <v>266.01</v>
      </c>
      <c r="H110">
        <v>0</v>
      </c>
    </row>
    <row r="111" spans="1:8" x14ac:dyDescent="0.35">
      <c r="A111" t="s">
        <v>9</v>
      </c>
      <c r="B111" t="s">
        <v>43</v>
      </c>
      <c r="D111">
        <v>150</v>
      </c>
      <c r="E111">
        <v>0</v>
      </c>
      <c r="F111">
        <v>31.5</v>
      </c>
      <c r="G111">
        <v>181.5</v>
      </c>
      <c r="H111">
        <v>0</v>
      </c>
    </row>
    <row r="112" spans="1:8" x14ac:dyDescent="0.35">
      <c r="A112" t="s">
        <v>9</v>
      </c>
      <c r="B112" t="s">
        <v>43</v>
      </c>
      <c r="D112" s="1">
        <v>1445.63</v>
      </c>
      <c r="E112">
        <v>4.5199999999999996</v>
      </c>
      <c r="F112">
        <v>303.58</v>
      </c>
      <c r="G112" s="1">
        <v>1753.73</v>
      </c>
      <c r="H112">
        <v>0</v>
      </c>
    </row>
    <row r="113" spans="1:8" x14ac:dyDescent="0.35">
      <c r="A113" t="s">
        <v>9</v>
      </c>
      <c r="B113" t="s">
        <v>43</v>
      </c>
      <c r="D113">
        <v>80</v>
      </c>
      <c r="E113">
        <v>26.22</v>
      </c>
      <c r="F113">
        <v>16.8</v>
      </c>
      <c r="G113">
        <v>123.02</v>
      </c>
      <c r="H113">
        <v>0</v>
      </c>
    </row>
    <row r="114" spans="1:8" x14ac:dyDescent="0.35">
      <c r="A114" t="s">
        <v>9</v>
      </c>
      <c r="B114" t="s">
        <v>43</v>
      </c>
      <c r="D114">
        <v>150</v>
      </c>
      <c r="E114">
        <v>0</v>
      </c>
      <c r="F114">
        <v>31.5</v>
      </c>
      <c r="G114">
        <v>181.5</v>
      </c>
      <c r="H114">
        <v>0</v>
      </c>
    </row>
    <row r="115" spans="1:8" x14ac:dyDescent="0.35">
      <c r="A115" t="s">
        <v>9</v>
      </c>
      <c r="B115" t="s">
        <v>43</v>
      </c>
      <c r="D115">
        <v>150</v>
      </c>
      <c r="E115">
        <v>0</v>
      </c>
      <c r="F115">
        <v>31.5</v>
      </c>
      <c r="G115">
        <v>181.5</v>
      </c>
      <c r="H115">
        <v>0</v>
      </c>
    </row>
    <row r="116" spans="1:8" x14ac:dyDescent="0.35">
      <c r="A116" t="s">
        <v>9</v>
      </c>
      <c r="B116" t="s">
        <v>43</v>
      </c>
      <c r="D116">
        <v>100</v>
      </c>
      <c r="E116">
        <v>0</v>
      </c>
      <c r="F116">
        <v>21</v>
      </c>
      <c r="G116">
        <v>121</v>
      </c>
      <c r="H116">
        <v>0</v>
      </c>
    </row>
    <row r="117" spans="1:8" x14ac:dyDescent="0.35">
      <c r="A117" t="s">
        <v>9</v>
      </c>
      <c r="B117" t="s">
        <v>43</v>
      </c>
      <c r="D117">
        <v>80</v>
      </c>
      <c r="E117">
        <v>0</v>
      </c>
      <c r="F117">
        <v>16.8</v>
      </c>
      <c r="G117">
        <v>96.8</v>
      </c>
      <c r="H117">
        <v>0</v>
      </c>
    </row>
    <row r="118" spans="1:8" x14ac:dyDescent="0.35">
      <c r="A118" t="s">
        <v>9</v>
      </c>
      <c r="B118" t="s">
        <v>43</v>
      </c>
      <c r="D118">
        <v>500</v>
      </c>
      <c r="E118">
        <v>0</v>
      </c>
      <c r="F118">
        <v>105</v>
      </c>
      <c r="G118">
        <v>605</v>
      </c>
      <c r="H118">
        <v>0</v>
      </c>
    </row>
    <row r="119" spans="1:8" x14ac:dyDescent="0.35">
      <c r="A119" t="s">
        <v>8</v>
      </c>
      <c r="B119" t="s">
        <v>43</v>
      </c>
      <c r="D119">
        <v>250</v>
      </c>
      <c r="E119">
        <v>0</v>
      </c>
      <c r="F119">
        <v>52.5</v>
      </c>
      <c r="G119">
        <v>302.5</v>
      </c>
      <c r="H119">
        <v>0</v>
      </c>
    </row>
    <row r="120" spans="1:8" x14ac:dyDescent="0.35">
      <c r="A120" t="s">
        <v>9</v>
      </c>
      <c r="B120" t="s">
        <v>43</v>
      </c>
      <c r="D120" s="1">
        <v>3832.23</v>
      </c>
      <c r="E120">
        <v>0</v>
      </c>
      <c r="F120">
        <v>804.77</v>
      </c>
      <c r="G120" s="1">
        <v>4637</v>
      </c>
      <c r="H120">
        <v>0</v>
      </c>
    </row>
    <row r="121" spans="1:8" x14ac:dyDescent="0.35">
      <c r="A121" t="s">
        <v>8</v>
      </c>
      <c r="B121" t="s">
        <v>43</v>
      </c>
      <c r="D121">
        <v>250</v>
      </c>
      <c r="E121">
        <v>0</v>
      </c>
      <c r="F121">
        <v>52.5</v>
      </c>
      <c r="G121">
        <v>302.5</v>
      </c>
      <c r="H121">
        <v>0</v>
      </c>
    </row>
    <row r="122" spans="1:8" x14ac:dyDescent="0.35">
      <c r="A122" t="s">
        <v>9</v>
      </c>
      <c r="B122" t="s">
        <v>43</v>
      </c>
      <c r="D122">
        <v>867.77</v>
      </c>
      <c r="E122">
        <v>0</v>
      </c>
      <c r="F122">
        <v>182.23</v>
      </c>
      <c r="G122" s="1">
        <v>1050</v>
      </c>
      <c r="H122">
        <v>0</v>
      </c>
    </row>
    <row r="123" spans="1:8" x14ac:dyDescent="0.35">
      <c r="A123" t="s">
        <v>8</v>
      </c>
      <c r="B123" t="s">
        <v>43</v>
      </c>
      <c r="D123">
        <v>82.65</v>
      </c>
      <c r="E123">
        <v>0</v>
      </c>
      <c r="F123">
        <v>17.350000000000001</v>
      </c>
      <c r="G123">
        <v>100</v>
      </c>
      <c r="H123">
        <v>0</v>
      </c>
    </row>
    <row r="124" spans="1:8" x14ac:dyDescent="0.35">
      <c r="A124" t="s">
        <v>9</v>
      </c>
      <c r="B124" t="s">
        <v>43</v>
      </c>
      <c r="D124">
        <v>195.91</v>
      </c>
      <c r="E124">
        <v>10</v>
      </c>
      <c r="F124">
        <v>41.14</v>
      </c>
      <c r="G124">
        <v>247.05</v>
      </c>
      <c r="H124">
        <v>0</v>
      </c>
    </row>
    <row r="125" spans="1:8" x14ac:dyDescent="0.35">
      <c r="A125" t="s">
        <v>8</v>
      </c>
      <c r="B125" t="s">
        <v>43</v>
      </c>
      <c r="D125">
        <v>600</v>
      </c>
      <c r="E125">
        <v>0</v>
      </c>
      <c r="F125">
        <v>126</v>
      </c>
      <c r="G125">
        <v>726</v>
      </c>
      <c r="H125">
        <v>0</v>
      </c>
    </row>
    <row r="126" spans="1:8" x14ac:dyDescent="0.35">
      <c r="A126" t="s">
        <v>9</v>
      </c>
      <c r="B126" t="s">
        <v>43</v>
      </c>
      <c r="D126">
        <v>0</v>
      </c>
      <c r="E126">
        <v>110.93</v>
      </c>
      <c r="F126">
        <v>0</v>
      </c>
      <c r="G126">
        <v>110.93</v>
      </c>
      <c r="H126">
        <v>0</v>
      </c>
    </row>
    <row r="127" spans="1:8" x14ac:dyDescent="0.35">
      <c r="A127" t="s">
        <v>9</v>
      </c>
      <c r="B127" t="s">
        <v>43</v>
      </c>
      <c r="D127">
        <v>-800</v>
      </c>
      <c r="E127">
        <v>-20</v>
      </c>
      <c r="F127">
        <v>-168</v>
      </c>
      <c r="G127">
        <v>-988</v>
      </c>
      <c r="H127">
        <v>-988</v>
      </c>
    </row>
    <row r="128" spans="1:8" x14ac:dyDescent="0.35">
      <c r="A128" t="s">
        <v>9</v>
      </c>
      <c r="B128" t="s">
        <v>43</v>
      </c>
      <c r="D128">
        <v>-400</v>
      </c>
      <c r="E128">
        <v>0</v>
      </c>
      <c r="F128">
        <v>-84</v>
      </c>
      <c r="G128">
        <v>-484</v>
      </c>
      <c r="H128">
        <v>0</v>
      </c>
    </row>
    <row r="129" spans="1:8" x14ac:dyDescent="0.35">
      <c r="A129" t="s">
        <v>9</v>
      </c>
      <c r="B129" t="s">
        <v>43</v>
      </c>
      <c r="D129">
        <v>766.66</v>
      </c>
      <c r="E129">
        <v>0</v>
      </c>
      <c r="F129">
        <v>161</v>
      </c>
      <c r="G129">
        <v>927.66</v>
      </c>
      <c r="H129">
        <v>0</v>
      </c>
    </row>
    <row r="130" spans="1:8" x14ac:dyDescent="0.35">
      <c r="A130" t="s">
        <v>9</v>
      </c>
      <c r="B130" t="s">
        <v>43</v>
      </c>
      <c r="D130">
        <v>60</v>
      </c>
      <c r="E130">
        <v>0</v>
      </c>
      <c r="F130">
        <v>12.6</v>
      </c>
      <c r="G130">
        <v>72.599999999999994</v>
      </c>
      <c r="H130">
        <v>0</v>
      </c>
    </row>
    <row r="131" spans="1:8" x14ac:dyDescent="0.35">
      <c r="A131" t="s">
        <v>9</v>
      </c>
      <c r="B131" t="s">
        <v>43</v>
      </c>
      <c r="D131">
        <v>142.83000000000001</v>
      </c>
      <c r="E131">
        <v>0</v>
      </c>
      <c r="F131">
        <v>29.99</v>
      </c>
      <c r="G131">
        <v>172.82</v>
      </c>
      <c r="H131">
        <v>0</v>
      </c>
    </row>
    <row r="132" spans="1:8" x14ac:dyDescent="0.35">
      <c r="A132" t="s">
        <v>8</v>
      </c>
      <c r="B132" t="s">
        <v>43</v>
      </c>
      <c r="D132">
        <v>0</v>
      </c>
      <c r="E132">
        <v>17.8</v>
      </c>
      <c r="F132">
        <v>0</v>
      </c>
      <c r="G132">
        <v>17.8</v>
      </c>
      <c r="H132">
        <v>17.8</v>
      </c>
    </row>
    <row r="133" spans="1:8" x14ac:dyDescent="0.35">
      <c r="A133" t="s">
        <v>9</v>
      </c>
      <c r="B133" t="s">
        <v>43</v>
      </c>
      <c r="D133">
        <v>821.73</v>
      </c>
      <c r="E133">
        <v>0</v>
      </c>
      <c r="F133">
        <v>172.56</v>
      </c>
      <c r="G133">
        <v>994.29</v>
      </c>
      <c r="H133">
        <v>0</v>
      </c>
    </row>
    <row r="134" spans="1:8" x14ac:dyDescent="0.35">
      <c r="A134" t="s">
        <v>9</v>
      </c>
      <c r="B134" t="s">
        <v>43</v>
      </c>
      <c r="D134">
        <v>548.16</v>
      </c>
      <c r="E134">
        <v>0</v>
      </c>
      <c r="F134">
        <v>115.11</v>
      </c>
      <c r="G134">
        <v>663.27</v>
      </c>
      <c r="H134">
        <v>0</v>
      </c>
    </row>
    <row r="135" spans="1:8" x14ac:dyDescent="0.35">
      <c r="A135" t="s">
        <v>9</v>
      </c>
      <c r="B135" t="s">
        <v>43</v>
      </c>
      <c r="D135">
        <v>800</v>
      </c>
      <c r="E135">
        <v>40</v>
      </c>
      <c r="F135">
        <v>168</v>
      </c>
      <c r="G135" s="1">
        <v>1008</v>
      </c>
      <c r="H135">
        <v>0</v>
      </c>
    </row>
    <row r="136" spans="1:8" x14ac:dyDescent="0.35">
      <c r="A136" t="s">
        <v>9</v>
      </c>
      <c r="B136" t="s">
        <v>44</v>
      </c>
      <c r="D136">
        <v>100</v>
      </c>
      <c r="E136">
        <v>0</v>
      </c>
      <c r="F136">
        <v>21</v>
      </c>
      <c r="G136">
        <v>121</v>
      </c>
      <c r="H136">
        <v>0</v>
      </c>
    </row>
    <row r="137" spans="1:8" x14ac:dyDescent="0.35">
      <c r="A137" t="s">
        <v>8</v>
      </c>
      <c r="B137" t="s">
        <v>44</v>
      </c>
      <c r="D137">
        <v>169.35</v>
      </c>
      <c r="E137">
        <v>0</v>
      </c>
      <c r="F137">
        <v>35.56</v>
      </c>
      <c r="G137">
        <v>204.91</v>
      </c>
      <c r="H137">
        <v>0</v>
      </c>
    </row>
    <row r="138" spans="1:8" x14ac:dyDescent="0.35">
      <c r="A138" t="s">
        <v>9</v>
      </c>
      <c r="B138" t="s">
        <v>44</v>
      </c>
      <c r="D138">
        <v>100</v>
      </c>
      <c r="E138">
        <v>0</v>
      </c>
      <c r="F138">
        <v>21</v>
      </c>
      <c r="G138">
        <v>121</v>
      </c>
      <c r="H138">
        <v>0</v>
      </c>
    </row>
    <row r="139" spans="1:8" x14ac:dyDescent="0.35">
      <c r="A139" t="s">
        <v>9</v>
      </c>
      <c r="B139" t="s">
        <v>44</v>
      </c>
      <c r="D139">
        <v>150</v>
      </c>
      <c r="E139">
        <v>0</v>
      </c>
      <c r="F139">
        <v>31.5</v>
      </c>
      <c r="G139">
        <v>181.5</v>
      </c>
      <c r="H139">
        <v>0</v>
      </c>
    </row>
    <row r="140" spans="1:8" x14ac:dyDescent="0.35">
      <c r="A140" t="s">
        <v>9</v>
      </c>
      <c r="B140" t="s">
        <v>44</v>
      </c>
      <c r="D140">
        <v>150</v>
      </c>
      <c r="E140">
        <v>0</v>
      </c>
      <c r="F140">
        <v>31.5</v>
      </c>
      <c r="G140">
        <v>181.5</v>
      </c>
      <c r="H140">
        <v>0</v>
      </c>
    </row>
    <row r="141" spans="1:8" x14ac:dyDescent="0.35">
      <c r="A141" t="s">
        <v>9</v>
      </c>
      <c r="B141" t="s">
        <v>44</v>
      </c>
      <c r="D141" s="1">
        <v>1400</v>
      </c>
      <c r="E141">
        <v>0</v>
      </c>
      <c r="F141">
        <v>294</v>
      </c>
      <c r="G141" s="1">
        <v>1694</v>
      </c>
      <c r="H141">
        <v>0</v>
      </c>
    </row>
    <row r="142" spans="1:8" x14ac:dyDescent="0.35">
      <c r="A142" t="s">
        <v>9</v>
      </c>
      <c r="B142" t="s">
        <v>44</v>
      </c>
      <c r="D142">
        <v>150</v>
      </c>
      <c r="E142">
        <v>0</v>
      </c>
      <c r="F142">
        <v>31.5</v>
      </c>
      <c r="G142">
        <v>181.5</v>
      </c>
      <c r="H142">
        <v>0</v>
      </c>
    </row>
    <row r="143" spans="1:8" x14ac:dyDescent="0.35">
      <c r="A143" t="s">
        <v>9</v>
      </c>
      <c r="B143" t="s">
        <v>44</v>
      </c>
      <c r="D143">
        <v>150</v>
      </c>
      <c r="E143">
        <v>157.36000000000001</v>
      </c>
      <c r="F143">
        <v>31.5</v>
      </c>
      <c r="G143">
        <v>338.86</v>
      </c>
      <c r="H143">
        <v>0</v>
      </c>
    </row>
    <row r="144" spans="1:8" x14ac:dyDescent="0.35">
      <c r="A144" t="s">
        <v>9</v>
      </c>
      <c r="B144" t="s">
        <v>44</v>
      </c>
      <c r="D144">
        <v>100</v>
      </c>
      <c r="E144">
        <v>0</v>
      </c>
      <c r="F144">
        <v>21</v>
      </c>
      <c r="G144">
        <v>121</v>
      </c>
      <c r="H144">
        <v>0</v>
      </c>
    </row>
    <row r="145" spans="1:8" x14ac:dyDescent="0.35">
      <c r="A145" t="s">
        <v>9</v>
      </c>
      <c r="B145" t="s">
        <v>44</v>
      </c>
      <c r="D145">
        <v>150</v>
      </c>
      <c r="E145">
        <v>8.23</v>
      </c>
      <c r="F145">
        <v>31.5</v>
      </c>
      <c r="G145">
        <v>189.73</v>
      </c>
      <c r="H145">
        <v>0</v>
      </c>
    </row>
    <row r="146" spans="1:8" x14ac:dyDescent="0.35">
      <c r="A146" t="s">
        <v>9</v>
      </c>
      <c r="B146" t="s">
        <v>44</v>
      </c>
      <c r="D146">
        <v>150</v>
      </c>
      <c r="E146">
        <v>0</v>
      </c>
      <c r="F146">
        <v>31.5</v>
      </c>
      <c r="G146">
        <v>181.5</v>
      </c>
      <c r="H146">
        <v>0</v>
      </c>
    </row>
    <row r="147" spans="1:8" x14ac:dyDescent="0.35">
      <c r="A147" t="s">
        <v>9</v>
      </c>
      <c r="B147" t="s">
        <v>44</v>
      </c>
      <c r="D147">
        <v>200</v>
      </c>
      <c r="E147">
        <v>0</v>
      </c>
      <c r="F147">
        <v>42</v>
      </c>
      <c r="G147">
        <v>242</v>
      </c>
      <c r="H147">
        <v>0</v>
      </c>
    </row>
    <row r="148" spans="1:8" x14ac:dyDescent="0.35">
      <c r="A148" t="s">
        <v>9</v>
      </c>
      <c r="B148" t="s">
        <v>44</v>
      </c>
      <c r="D148">
        <v>150</v>
      </c>
      <c r="E148">
        <v>0</v>
      </c>
      <c r="F148">
        <v>31.5</v>
      </c>
      <c r="G148">
        <v>181.5</v>
      </c>
      <c r="H148">
        <v>0</v>
      </c>
    </row>
    <row r="149" spans="1:8" x14ac:dyDescent="0.35">
      <c r="A149" t="s">
        <v>9</v>
      </c>
      <c r="B149" t="s">
        <v>44</v>
      </c>
      <c r="D149">
        <v>400</v>
      </c>
      <c r="E149">
        <v>0</v>
      </c>
      <c r="F149">
        <v>84</v>
      </c>
      <c r="G149">
        <v>484</v>
      </c>
      <c r="H149">
        <v>0</v>
      </c>
    </row>
    <row r="150" spans="1:8" x14ac:dyDescent="0.35">
      <c r="A150" t="s">
        <v>9</v>
      </c>
      <c r="B150" t="s">
        <v>44</v>
      </c>
      <c r="D150">
        <v>833.33</v>
      </c>
      <c r="E150">
        <v>0</v>
      </c>
      <c r="F150">
        <v>175</v>
      </c>
      <c r="G150" s="1">
        <v>1008.33</v>
      </c>
      <c r="H150">
        <v>0</v>
      </c>
    </row>
    <row r="151" spans="1:8" x14ac:dyDescent="0.35">
      <c r="A151" t="s">
        <v>9</v>
      </c>
      <c r="B151" t="s">
        <v>44</v>
      </c>
      <c r="D151">
        <v>100</v>
      </c>
      <c r="E151">
        <v>0</v>
      </c>
      <c r="F151">
        <v>21</v>
      </c>
      <c r="G151">
        <v>121</v>
      </c>
      <c r="H151">
        <v>0</v>
      </c>
    </row>
    <row r="152" spans="1:8" x14ac:dyDescent="0.35">
      <c r="A152" t="s">
        <v>9</v>
      </c>
      <c r="B152" t="s">
        <v>44</v>
      </c>
      <c r="D152">
        <v>80</v>
      </c>
      <c r="E152">
        <v>0</v>
      </c>
      <c r="F152">
        <v>16.8</v>
      </c>
      <c r="G152">
        <v>96.8</v>
      </c>
      <c r="H152">
        <v>0</v>
      </c>
    </row>
    <row r="153" spans="1:8" x14ac:dyDescent="0.35">
      <c r="A153" t="s">
        <v>9</v>
      </c>
      <c r="B153" t="s">
        <v>44</v>
      </c>
      <c r="D153">
        <v>300</v>
      </c>
      <c r="E153">
        <v>0</v>
      </c>
      <c r="F153">
        <v>63</v>
      </c>
      <c r="G153">
        <v>363</v>
      </c>
      <c r="H153">
        <v>0</v>
      </c>
    </row>
    <row r="154" spans="1:8" x14ac:dyDescent="0.35">
      <c r="A154" t="s">
        <v>9</v>
      </c>
      <c r="B154" t="s">
        <v>44</v>
      </c>
      <c r="D154">
        <v>150</v>
      </c>
      <c r="E154">
        <v>15.74</v>
      </c>
      <c r="F154">
        <v>31.5</v>
      </c>
      <c r="G154">
        <v>197.24</v>
      </c>
      <c r="H154">
        <v>0</v>
      </c>
    </row>
    <row r="155" spans="1:8" x14ac:dyDescent="0.35">
      <c r="A155" t="s">
        <v>9</v>
      </c>
      <c r="B155" t="s">
        <v>44</v>
      </c>
      <c r="D155">
        <v>80</v>
      </c>
      <c r="E155">
        <v>0</v>
      </c>
      <c r="F155">
        <v>16.8</v>
      </c>
      <c r="G155">
        <v>96.8</v>
      </c>
      <c r="H155">
        <v>0</v>
      </c>
    </row>
    <row r="156" spans="1:8" x14ac:dyDescent="0.35">
      <c r="A156" t="s">
        <v>9</v>
      </c>
      <c r="B156" t="s">
        <v>44</v>
      </c>
      <c r="D156">
        <v>50</v>
      </c>
      <c r="E156">
        <v>0</v>
      </c>
      <c r="F156">
        <v>10.5</v>
      </c>
      <c r="G156">
        <v>60.5</v>
      </c>
      <c r="H156">
        <v>0</v>
      </c>
    </row>
    <row r="157" spans="1:8" x14ac:dyDescent="0.35">
      <c r="A157" t="s">
        <v>8</v>
      </c>
      <c r="B157" t="s">
        <v>44</v>
      </c>
      <c r="D157">
        <v>300</v>
      </c>
      <c r="E157">
        <v>0</v>
      </c>
      <c r="F157">
        <v>63</v>
      </c>
      <c r="G157">
        <v>363</v>
      </c>
      <c r="H157">
        <v>0</v>
      </c>
    </row>
    <row r="158" spans="1:8" x14ac:dyDescent="0.35">
      <c r="A158" t="s">
        <v>9</v>
      </c>
      <c r="B158" t="s">
        <v>44</v>
      </c>
      <c r="D158">
        <v>200</v>
      </c>
      <c r="E158">
        <v>0</v>
      </c>
      <c r="F158">
        <v>42</v>
      </c>
      <c r="G158">
        <v>242</v>
      </c>
      <c r="H158">
        <v>0</v>
      </c>
    </row>
    <row r="159" spans="1:8" x14ac:dyDescent="0.35">
      <c r="A159" t="s">
        <v>9</v>
      </c>
      <c r="B159" t="s">
        <v>44</v>
      </c>
      <c r="D159">
        <v>200</v>
      </c>
      <c r="E159">
        <v>11.5</v>
      </c>
      <c r="F159">
        <v>42</v>
      </c>
      <c r="G159">
        <v>253.5</v>
      </c>
      <c r="H159">
        <v>0</v>
      </c>
    </row>
    <row r="160" spans="1:8" x14ac:dyDescent="0.35">
      <c r="A160" t="s">
        <v>9</v>
      </c>
      <c r="B160" t="s">
        <v>44</v>
      </c>
      <c r="D160">
        <v>60</v>
      </c>
      <c r="E160">
        <v>0</v>
      </c>
      <c r="F160">
        <v>12.6</v>
      </c>
      <c r="G160">
        <v>72.599999999999994</v>
      </c>
      <c r="H160">
        <v>0</v>
      </c>
    </row>
    <row r="161" spans="1:8" x14ac:dyDescent="0.35">
      <c r="A161" t="s">
        <v>9</v>
      </c>
      <c r="B161" t="s">
        <v>44</v>
      </c>
      <c r="D161">
        <v>100</v>
      </c>
      <c r="E161">
        <v>0</v>
      </c>
      <c r="F161">
        <v>21</v>
      </c>
      <c r="G161">
        <v>121</v>
      </c>
      <c r="H161">
        <v>0</v>
      </c>
    </row>
    <row r="162" spans="1:8" x14ac:dyDescent="0.35">
      <c r="A162" t="s">
        <v>9</v>
      </c>
      <c r="B162" t="s">
        <v>44</v>
      </c>
      <c r="D162">
        <v>80</v>
      </c>
      <c r="E162">
        <v>0</v>
      </c>
      <c r="F162">
        <v>16.8</v>
      </c>
      <c r="G162">
        <v>96.8</v>
      </c>
      <c r="H162">
        <v>0</v>
      </c>
    </row>
    <row r="163" spans="1:8" x14ac:dyDescent="0.35">
      <c r="A163" t="s">
        <v>9</v>
      </c>
      <c r="B163" t="s">
        <v>44</v>
      </c>
      <c r="D163">
        <v>80</v>
      </c>
      <c r="E163">
        <v>0</v>
      </c>
      <c r="F163">
        <v>16.8</v>
      </c>
      <c r="G163">
        <v>96.8</v>
      </c>
      <c r="H163">
        <v>0</v>
      </c>
    </row>
    <row r="164" spans="1:8" x14ac:dyDescent="0.35">
      <c r="A164" t="s">
        <v>8</v>
      </c>
      <c r="B164" t="s">
        <v>44</v>
      </c>
      <c r="D164">
        <v>880.65</v>
      </c>
      <c r="E164">
        <v>0</v>
      </c>
      <c r="F164">
        <v>184.94</v>
      </c>
      <c r="G164" s="1">
        <v>1065.5899999999999</v>
      </c>
      <c r="H164">
        <v>0</v>
      </c>
    </row>
    <row r="165" spans="1:8" x14ac:dyDescent="0.35">
      <c r="A165" t="s">
        <v>9</v>
      </c>
      <c r="B165" t="s">
        <v>44</v>
      </c>
      <c r="D165">
        <v>150</v>
      </c>
      <c r="E165">
        <v>0</v>
      </c>
      <c r="F165">
        <v>31.5</v>
      </c>
      <c r="G165">
        <v>181.5</v>
      </c>
      <c r="H165">
        <v>0</v>
      </c>
    </row>
    <row r="166" spans="1:8" x14ac:dyDescent="0.35">
      <c r="A166" t="s">
        <v>9</v>
      </c>
      <c r="B166" t="s">
        <v>44</v>
      </c>
      <c r="D166">
        <v>100</v>
      </c>
      <c r="E166">
        <v>0</v>
      </c>
      <c r="F166">
        <v>21</v>
      </c>
      <c r="G166">
        <v>121</v>
      </c>
      <c r="H166">
        <v>0</v>
      </c>
    </row>
    <row r="167" spans="1:8" x14ac:dyDescent="0.35">
      <c r="A167" t="s">
        <v>9</v>
      </c>
      <c r="B167" t="s">
        <v>44</v>
      </c>
      <c r="D167">
        <v>50</v>
      </c>
      <c r="E167">
        <v>0</v>
      </c>
      <c r="F167">
        <v>10.5</v>
      </c>
      <c r="G167">
        <v>60.5</v>
      </c>
      <c r="H167">
        <v>0</v>
      </c>
    </row>
    <row r="168" spans="1:8" x14ac:dyDescent="0.35">
      <c r="A168" t="s">
        <v>8</v>
      </c>
      <c r="B168" t="s">
        <v>44</v>
      </c>
      <c r="D168">
        <v>100</v>
      </c>
      <c r="E168">
        <v>0</v>
      </c>
      <c r="F168">
        <v>21</v>
      </c>
      <c r="G168">
        <v>121</v>
      </c>
      <c r="H168">
        <v>0</v>
      </c>
    </row>
    <row r="169" spans="1:8" x14ac:dyDescent="0.35">
      <c r="A169" t="s">
        <v>9</v>
      </c>
      <c r="B169" t="s">
        <v>44</v>
      </c>
      <c r="D169">
        <v>35</v>
      </c>
      <c r="E169">
        <v>0</v>
      </c>
      <c r="F169">
        <v>7.35</v>
      </c>
      <c r="G169">
        <v>42.35</v>
      </c>
      <c r="H169">
        <v>0</v>
      </c>
    </row>
    <row r="170" spans="1:8" x14ac:dyDescent="0.35">
      <c r="A170" t="s">
        <v>9</v>
      </c>
      <c r="B170" t="s">
        <v>44</v>
      </c>
      <c r="D170">
        <v>80</v>
      </c>
      <c r="E170">
        <v>0</v>
      </c>
      <c r="F170">
        <v>16.8</v>
      </c>
      <c r="G170">
        <v>96.8</v>
      </c>
      <c r="H170">
        <v>0</v>
      </c>
    </row>
    <row r="171" spans="1:8" x14ac:dyDescent="0.35">
      <c r="A171" t="s">
        <v>8</v>
      </c>
      <c r="B171" t="s">
        <v>44</v>
      </c>
      <c r="D171">
        <v>150</v>
      </c>
      <c r="E171">
        <v>0</v>
      </c>
      <c r="F171">
        <v>31.5</v>
      </c>
      <c r="G171">
        <v>181.5</v>
      </c>
      <c r="H171">
        <v>0</v>
      </c>
    </row>
    <row r="172" spans="1:8" x14ac:dyDescent="0.35">
      <c r="A172" t="s">
        <v>9</v>
      </c>
      <c r="B172" t="s">
        <v>44</v>
      </c>
      <c r="D172">
        <v>100</v>
      </c>
      <c r="E172">
        <v>0</v>
      </c>
      <c r="F172">
        <v>21</v>
      </c>
      <c r="G172">
        <v>121</v>
      </c>
      <c r="H172">
        <v>0</v>
      </c>
    </row>
    <row r="173" spans="1:8" x14ac:dyDescent="0.35">
      <c r="A173" t="s">
        <v>9</v>
      </c>
      <c r="B173" t="s">
        <v>44</v>
      </c>
      <c r="D173">
        <v>150</v>
      </c>
      <c r="E173">
        <v>0</v>
      </c>
      <c r="F173">
        <v>31.5</v>
      </c>
      <c r="G173">
        <v>181.5</v>
      </c>
      <c r="H173">
        <v>0</v>
      </c>
    </row>
    <row r="174" spans="1:8" x14ac:dyDescent="0.35">
      <c r="A174" t="s">
        <v>9</v>
      </c>
      <c r="B174" t="s">
        <v>44</v>
      </c>
      <c r="D174">
        <v>150</v>
      </c>
      <c r="E174">
        <v>0</v>
      </c>
      <c r="F174">
        <v>31.5</v>
      </c>
      <c r="G174">
        <v>181.5</v>
      </c>
      <c r="H174">
        <v>0</v>
      </c>
    </row>
    <row r="175" spans="1:8" x14ac:dyDescent="0.35">
      <c r="A175" t="s">
        <v>9</v>
      </c>
      <c r="B175" t="s">
        <v>44</v>
      </c>
      <c r="D175">
        <v>100</v>
      </c>
      <c r="E175">
        <v>0</v>
      </c>
      <c r="F175">
        <v>21</v>
      </c>
      <c r="G175">
        <v>121</v>
      </c>
      <c r="H175">
        <v>0</v>
      </c>
    </row>
    <row r="176" spans="1:8" x14ac:dyDescent="0.35">
      <c r="A176" t="s">
        <v>9</v>
      </c>
      <c r="B176" t="s">
        <v>44</v>
      </c>
      <c r="D176">
        <v>95</v>
      </c>
      <c r="E176">
        <v>0</v>
      </c>
      <c r="F176">
        <v>19.95</v>
      </c>
      <c r="G176">
        <v>114.95</v>
      </c>
      <c r="H176">
        <v>0</v>
      </c>
    </row>
    <row r="177" spans="1:8" x14ac:dyDescent="0.35">
      <c r="A177" t="s">
        <v>9</v>
      </c>
      <c r="B177" t="s">
        <v>44</v>
      </c>
      <c r="D177">
        <v>150</v>
      </c>
      <c r="E177">
        <v>0</v>
      </c>
      <c r="F177">
        <v>31.5</v>
      </c>
      <c r="G177">
        <v>181.5</v>
      </c>
      <c r="H177">
        <v>0</v>
      </c>
    </row>
    <row r="178" spans="1:8" x14ac:dyDescent="0.35">
      <c r="A178" t="s">
        <v>9</v>
      </c>
      <c r="B178" t="s">
        <v>44</v>
      </c>
      <c r="D178">
        <v>150</v>
      </c>
      <c r="E178">
        <v>0</v>
      </c>
      <c r="F178">
        <v>31.5</v>
      </c>
      <c r="G178">
        <v>181.5</v>
      </c>
      <c r="H178">
        <v>0</v>
      </c>
    </row>
    <row r="179" spans="1:8" x14ac:dyDescent="0.35">
      <c r="A179" t="s">
        <v>9</v>
      </c>
      <c r="B179" t="s">
        <v>44</v>
      </c>
      <c r="D179">
        <v>50</v>
      </c>
      <c r="E179">
        <v>0</v>
      </c>
      <c r="F179">
        <v>10.5</v>
      </c>
      <c r="G179">
        <v>60.5</v>
      </c>
      <c r="H179">
        <v>0</v>
      </c>
    </row>
    <row r="180" spans="1:8" x14ac:dyDescent="0.35">
      <c r="A180" t="s">
        <v>9</v>
      </c>
      <c r="B180" t="s">
        <v>44</v>
      </c>
      <c r="D180">
        <v>100</v>
      </c>
      <c r="E180">
        <v>0</v>
      </c>
      <c r="F180">
        <v>21</v>
      </c>
      <c r="G180">
        <v>121</v>
      </c>
      <c r="H180">
        <v>0</v>
      </c>
    </row>
    <row r="181" spans="1:8" x14ac:dyDescent="0.35">
      <c r="A181" t="s">
        <v>9</v>
      </c>
      <c r="B181" t="s">
        <v>44</v>
      </c>
      <c r="D181">
        <v>80</v>
      </c>
      <c r="E181">
        <v>0</v>
      </c>
      <c r="F181">
        <v>16.8</v>
      </c>
      <c r="G181">
        <v>96.8</v>
      </c>
      <c r="H181">
        <v>0</v>
      </c>
    </row>
    <row r="182" spans="1:8" x14ac:dyDescent="0.35">
      <c r="A182" t="s">
        <v>9</v>
      </c>
      <c r="B182" t="s">
        <v>44</v>
      </c>
      <c r="D182" s="1">
        <v>1721.9</v>
      </c>
      <c r="E182">
        <v>0</v>
      </c>
      <c r="F182">
        <v>361.6</v>
      </c>
      <c r="G182" s="1">
        <v>2083.5</v>
      </c>
      <c r="H182">
        <v>0</v>
      </c>
    </row>
    <row r="183" spans="1:8" x14ac:dyDescent="0.35">
      <c r="A183" t="s">
        <v>9</v>
      </c>
      <c r="B183" t="s">
        <v>44</v>
      </c>
      <c r="D183">
        <v>100</v>
      </c>
      <c r="E183">
        <v>0</v>
      </c>
      <c r="F183">
        <v>21</v>
      </c>
      <c r="G183">
        <v>121</v>
      </c>
      <c r="H183">
        <v>0</v>
      </c>
    </row>
    <row r="184" spans="1:8" x14ac:dyDescent="0.35">
      <c r="A184" t="s">
        <v>9</v>
      </c>
      <c r="B184" t="s">
        <v>44</v>
      </c>
      <c r="D184">
        <v>150</v>
      </c>
      <c r="E184">
        <v>36.32</v>
      </c>
      <c r="F184">
        <v>31.5</v>
      </c>
      <c r="G184">
        <v>217.82</v>
      </c>
      <c r="H184">
        <v>0</v>
      </c>
    </row>
    <row r="185" spans="1:8" x14ac:dyDescent="0.35">
      <c r="A185" t="s">
        <v>9</v>
      </c>
      <c r="B185" t="s">
        <v>44</v>
      </c>
      <c r="D185">
        <v>125</v>
      </c>
      <c r="E185">
        <v>0</v>
      </c>
      <c r="F185">
        <v>26.25</v>
      </c>
      <c r="G185">
        <v>151.25</v>
      </c>
      <c r="H185">
        <v>0</v>
      </c>
    </row>
    <row r="186" spans="1:8" x14ac:dyDescent="0.35">
      <c r="A186" t="s">
        <v>9</v>
      </c>
      <c r="B186" t="s">
        <v>44</v>
      </c>
      <c r="D186">
        <v>100</v>
      </c>
      <c r="E186">
        <v>0</v>
      </c>
      <c r="F186">
        <v>21</v>
      </c>
      <c r="G186">
        <v>121</v>
      </c>
      <c r="H186">
        <v>0</v>
      </c>
    </row>
    <row r="187" spans="1:8" x14ac:dyDescent="0.35">
      <c r="A187" t="s">
        <v>9</v>
      </c>
      <c r="B187" t="s">
        <v>44</v>
      </c>
      <c r="D187">
        <v>150</v>
      </c>
      <c r="E187">
        <v>0</v>
      </c>
      <c r="F187">
        <v>31.5</v>
      </c>
      <c r="G187">
        <v>181.5</v>
      </c>
      <c r="H187">
        <v>0</v>
      </c>
    </row>
    <row r="188" spans="1:8" x14ac:dyDescent="0.35">
      <c r="A188" t="s">
        <v>9</v>
      </c>
      <c r="B188" t="s">
        <v>44</v>
      </c>
      <c r="D188">
        <v>150</v>
      </c>
      <c r="E188">
        <v>0</v>
      </c>
      <c r="F188">
        <v>31.5</v>
      </c>
      <c r="G188">
        <v>181.5</v>
      </c>
      <c r="H188">
        <v>0</v>
      </c>
    </row>
    <row r="189" spans="1:8" x14ac:dyDescent="0.35">
      <c r="A189" t="s">
        <v>9</v>
      </c>
      <c r="B189" t="s">
        <v>44</v>
      </c>
      <c r="D189" s="1">
        <v>1500</v>
      </c>
      <c r="E189">
        <v>0</v>
      </c>
      <c r="F189">
        <v>315</v>
      </c>
      <c r="G189" s="1">
        <v>1815</v>
      </c>
      <c r="H189">
        <v>0</v>
      </c>
    </row>
    <row r="190" spans="1:8" x14ac:dyDescent="0.35">
      <c r="A190" t="s">
        <v>9</v>
      </c>
      <c r="B190" t="s">
        <v>44</v>
      </c>
      <c r="D190">
        <v>900</v>
      </c>
      <c r="E190">
        <v>0</v>
      </c>
      <c r="F190">
        <v>189</v>
      </c>
      <c r="G190" s="1">
        <v>1089</v>
      </c>
      <c r="H190">
        <v>0</v>
      </c>
    </row>
    <row r="191" spans="1:8" x14ac:dyDescent="0.35">
      <c r="A191" t="s">
        <v>9</v>
      </c>
      <c r="B191" t="s">
        <v>44</v>
      </c>
      <c r="D191">
        <v>560</v>
      </c>
      <c r="E191">
        <v>0</v>
      </c>
      <c r="F191">
        <v>117.6</v>
      </c>
      <c r="G191">
        <v>677.6</v>
      </c>
      <c r="H191">
        <v>0</v>
      </c>
    </row>
    <row r="192" spans="1:8" x14ac:dyDescent="0.35">
      <c r="A192" t="s">
        <v>9</v>
      </c>
      <c r="B192" t="s">
        <v>44</v>
      </c>
      <c r="D192" s="1">
        <v>1500</v>
      </c>
      <c r="E192">
        <v>0</v>
      </c>
      <c r="F192">
        <v>315</v>
      </c>
      <c r="G192" s="1">
        <v>1815</v>
      </c>
      <c r="H192">
        <v>0</v>
      </c>
    </row>
    <row r="193" spans="1:8" x14ac:dyDescent="0.35">
      <c r="A193" t="s">
        <v>9</v>
      </c>
      <c r="B193" t="s">
        <v>44</v>
      </c>
      <c r="D193">
        <v>416.66</v>
      </c>
      <c r="E193">
        <v>0</v>
      </c>
      <c r="F193">
        <v>87.5</v>
      </c>
      <c r="G193">
        <v>504.16</v>
      </c>
      <c r="H193">
        <v>0</v>
      </c>
    </row>
    <row r="194" spans="1:8" x14ac:dyDescent="0.35">
      <c r="A194" t="s">
        <v>8</v>
      </c>
      <c r="B194" t="s">
        <v>44</v>
      </c>
      <c r="D194" s="1">
        <v>9099.4599999999991</v>
      </c>
      <c r="E194">
        <v>0</v>
      </c>
      <c r="F194" s="1">
        <v>1910.89</v>
      </c>
      <c r="G194" s="1">
        <v>11010.35</v>
      </c>
      <c r="H194">
        <v>0</v>
      </c>
    </row>
    <row r="195" spans="1:8" x14ac:dyDescent="0.35">
      <c r="A195" t="s">
        <v>8</v>
      </c>
      <c r="B195" t="s">
        <v>44</v>
      </c>
      <c r="D195">
        <v>300</v>
      </c>
      <c r="E195">
        <v>0</v>
      </c>
      <c r="F195">
        <v>63</v>
      </c>
      <c r="G195">
        <v>363</v>
      </c>
      <c r="H195">
        <v>0</v>
      </c>
    </row>
    <row r="196" spans="1:8" x14ac:dyDescent="0.35">
      <c r="A196" t="s">
        <v>8</v>
      </c>
      <c r="B196" t="s">
        <v>44</v>
      </c>
      <c r="D196" s="1">
        <v>2521.2600000000002</v>
      </c>
      <c r="E196">
        <v>0</v>
      </c>
      <c r="F196">
        <v>529.46</v>
      </c>
      <c r="G196" s="1">
        <v>3050.72</v>
      </c>
      <c r="H196">
        <v>0</v>
      </c>
    </row>
    <row r="197" spans="1:8" x14ac:dyDescent="0.35">
      <c r="A197" t="s">
        <v>9</v>
      </c>
      <c r="B197" t="s">
        <v>44</v>
      </c>
      <c r="D197">
        <v>500</v>
      </c>
      <c r="E197">
        <v>0</v>
      </c>
      <c r="F197">
        <v>105</v>
      </c>
      <c r="G197">
        <v>605</v>
      </c>
      <c r="H197">
        <v>0</v>
      </c>
    </row>
    <row r="198" spans="1:8" x14ac:dyDescent="0.35">
      <c r="A198" t="s">
        <v>8</v>
      </c>
      <c r="B198" t="s">
        <v>44</v>
      </c>
      <c r="D198">
        <v>300</v>
      </c>
      <c r="E198">
        <v>0</v>
      </c>
      <c r="F198">
        <v>63</v>
      </c>
      <c r="G198">
        <v>363</v>
      </c>
      <c r="H198">
        <v>0</v>
      </c>
    </row>
    <row r="199" spans="1:8" x14ac:dyDescent="0.35">
      <c r="A199" t="s">
        <v>9</v>
      </c>
      <c r="B199" t="s">
        <v>44</v>
      </c>
      <c r="D199">
        <v>500</v>
      </c>
      <c r="E199">
        <v>0</v>
      </c>
      <c r="F199">
        <v>105</v>
      </c>
      <c r="G199">
        <v>605</v>
      </c>
      <c r="H199">
        <v>0</v>
      </c>
    </row>
    <row r="200" spans="1:8" x14ac:dyDescent="0.35">
      <c r="A200" t="s">
        <v>9</v>
      </c>
      <c r="B200" t="s">
        <v>44</v>
      </c>
      <c r="D200">
        <v>300</v>
      </c>
      <c r="E200">
        <v>0</v>
      </c>
      <c r="F200">
        <v>63</v>
      </c>
      <c r="G200">
        <v>363</v>
      </c>
      <c r="H200">
        <v>0</v>
      </c>
    </row>
    <row r="201" spans="1:8" x14ac:dyDescent="0.35">
      <c r="A201" t="s">
        <v>9</v>
      </c>
      <c r="B201" t="s">
        <v>44</v>
      </c>
      <c r="D201" s="1">
        <v>1000</v>
      </c>
      <c r="E201">
        <v>0</v>
      </c>
      <c r="F201">
        <v>210</v>
      </c>
      <c r="G201" s="1">
        <v>1210</v>
      </c>
      <c r="H201">
        <v>0</v>
      </c>
    </row>
    <row r="202" spans="1:8" x14ac:dyDescent="0.35">
      <c r="A202" t="s">
        <v>9</v>
      </c>
      <c r="B202" t="s">
        <v>44</v>
      </c>
      <c r="D202" s="1">
        <v>1500</v>
      </c>
      <c r="E202">
        <v>0</v>
      </c>
      <c r="F202">
        <v>315</v>
      </c>
      <c r="G202" s="1">
        <v>1815</v>
      </c>
      <c r="H202">
        <v>0</v>
      </c>
    </row>
    <row r="203" spans="1:8" x14ac:dyDescent="0.35">
      <c r="A203" t="s">
        <v>9</v>
      </c>
      <c r="B203" t="s">
        <v>44</v>
      </c>
      <c r="D203">
        <v>150</v>
      </c>
      <c r="E203">
        <v>0</v>
      </c>
      <c r="F203">
        <v>31.5</v>
      </c>
      <c r="G203">
        <v>181.5</v>
      </c>
      <c r="H203">
        <v>0</v>
      </c>
    </row>
    <row r="204" spans="1:8" x14ac:dyDescent="0.35">
      <c r="A204" t="s">
        <v>9</v>
      </c>
      <c r="B204" t="s">
        <v>44</v>
      </c>
      <c r="D204">
        <v>766.66</v>
      </c>
      <c r="E204">
        <v>10</v>
      </c>
      <c r="F204">
        <v>161</v>
      </c>
      <c r="G204">
        <v>937.66</v>
      </c>
      <c r="H204">
        <v>0</v>
      </c>
    </row>
    <row r="205" spans="1:8" x14ac:dyDescent="0.35">
      <c r="A205" t="s">
        <v>9</v>
      </c>
      <c r="B205" t="s">
        <v>44</v>
      </c>
      <c r="D205">
        <v>150</v>
      </c>
      <c r="E205">
        <v>0</v>
      </c>
      <c r="F205">
        <v>31.5</v>
      </c>
      <c r="G205">
        <v>181.5</v>
      </c>
      <c r="H205">
        <v>0</v>
      </c>
    </row>
    <row r="206" spans="1:8" x14ac:dyDescent="0.35">
      <c r="A206" t="s">
        <v>9</v>
      </c>
      <c r="B206" t="s">
        <v>44</v>
      </c>
      <c r="D206">
        <v>150</v>
      </c>
      <c r="E206">
        <v>0</v>
      </c>
      <c r="F206">
        <v>31.5</v>
      </c>
      <c r="G206">
        <v>181.5</v>
      </c>
      <c r="H206">
        <v>0</v>
      </c>
    </row>
    <row r="207" spans="1:8" x14ac:dyDescent="0.35">
      <c r="A207" t="s">
        <v>9</v>
      </c>
      <c r="B207" t="s">
        <v>44</v>
      </c>
      <c r="D207">
        <v>495.87</v>
      </c>
      <c r="E207">
        <v>0</v>
      </c>
      <c r="F207">
        <v>104.13</v>
      </c>
      <c r="G207">
        <v>600</v>
      </c>
      <c r="H207">
        <v>0</v>
      </c>
    </row>
    <row r="208" spans="1:8" x14ac:dyDescent="0.35">
      <c r="A208" t="s">
        <v>9</v>
      </c>
      <c r="B208" t="s">
        <v>44</v>
      </c>
      <c r="D208">
        <v>378</v>
      </c>
      <c r="E208">
        <v>0</v>
      </c>
      <c r="F208">
        <v>79.38</v>
      </c>
      <c r="G208">
        <v>457.38</v>
      </c>
      <c r="H208">
        <v>0</v>
      </c>
    </row>
    <row r="209" spans="1:8" x14ac:dyDescent="0.35">
      <c r="A209" t="s">
        <v>9</v>
      </c>
      <c r="B209" t="s">
        <v>44</v>
      </c>
      <c r="D209">
        <v>89.38</v>
      </c>
      <c r="E209">
        <v>0</v>
      </c>
      <c r="F209">
        <v>18.77</v>
      </c>
      <c r="G209">
        <v>108.15</v>
      </c>
      <c r="H209">
        <v>0</v>
      </c>
    </row>
    <row r="210" spans="1:8" x14ac:dyDescent="0.35">
      <c r="A210" t="s">
        <v>9</v>
      </c>
      <c r="B210" t="s">
        <v>44</v>
      </c>
      <c r="D210">
        <v>500</v>
      </c>
      <c r="E210">
        <v>0</v>
      </c>
      <c r="F210">
        <v>105</v>
      </c>
      <c r="G210">
        <v>605</v>
      </c>
      <c r="H210">
        <v>605</v>
      </c>
    </row>
    <row r="211" spans="1:8" x14ac:dyDescent="0.35">
      <c r="A211" t="s">
        <v>9</v>
      </c>
      <c r="B211" t="s">
        <v>44</v>
      </c>
      <c r="D211" s="1">
        <v>1295.0999999999999</v>
      </c>
      <c r="E211">
        <v>0</v>
      </c>
      <c r="F211">
        <v>271.97000000000003</v>
      </c>
      <c r="G211" s="1">
        <v>1567.07</v>
      </c>
      <c r="H211">
        <v>0</v>
      </c>
    </row>
    <row r="213" spans="1:8" x14ac:dyDescent="0.35">
      <c r="D213" s="1"/>
      <c r="G213" s="1"/>
    </row>
    <row r="214" spans="1:8" x14ac:dyDescent="0.35">
      <c r="D214" s="1"/>
      <c r="G214" s="1"/>
    </row>
    <row r="216" spans="1:8" x14ac:dyDescent="0.35">
      <c r="D216" s="1"/>
      <c r="G216" s="1"/>
    </row>
    <row r="217" spans="1:8" x14ac:dyDescent="0.35">
      <c r="G217" s="1"/>
    </row>
    <row r="219" spans="1:8" x14ac:dyDescent="0.35">
      <c r="D219" s="1"/>
      <c r="G219" s="1"/>
    </row>
    <row r="222" spans="1:8" x14ac:dyDescent="0.35">
      <c r="D222" s="1"/>
      <c r="G222" s="1"/>
    </row>
    <row r="228" spans="4:7" x14ac:dyDescent="0.35">
      <c r="D228" s="1"/>
      <c r="G228" s="1"/>
    </row>
    <row r="232" spans="4:7" x14ac:dyDescent="0.35">
      <c r="D232" s="1"/>
      <c r="G232" s="1"/>
    </row>
    <row r="235" spans="4:7" x14ac:dyDescent="0.35">
      <c r="G235" s="1"/>
    </row>
    <row r="283" spans="4:7" x14ac:dyDescent="0.35">
      <c r="D283" s="1"/>
      <c r="G283" s="1"/>
    </row>
    <row r="285" spans="4:7" x14ac:dyDescent="0.35">
      <c r="D285" s="1"/>
      <c r="G285" s="1"/>
    </row>
    <row r="287" spans="4:7" x14ac:dyDescent="0.35">
      <c r="D287" s="1"/>
      <c r="G287" s="1"/>
    </row>
    <row r="289" spans="4:7" x14ac:dyDescent="0.35">
      <c r="D289" s="1"/>
      <c r="F289" s="1"/>
      <c r="G289" s="1"/>
    </row>
    <row r="290" spans="4:7" x14ac:dyDescent="0.35">
      <c r="D290" s="1"/>
      <c r="G290" s="1"/>
    </row>
    <row r="291" spans="4:7" x14ac:dyDescent="0.35">
      <c r="G291" s="1"/>
    </row>
    <row r="293" spans="4:7" x14ac:dyDescent="0.35">
      <c r="D293" s="1"/>
      <c r="G293" s="1"/>
    </row>
    <row r="295" spans="4:7" x14ac:dyDescent="0.35">
      <c r="D295" s="1"/>
      <c r="G295" s="1"/>
    </row>
    <row r="297" spans="4:7" x14ac:dyDescent="0.35">
      <c r="D297" s="1"/>
      <c r="G297" s="1"/>
    </row>
    <row r="302" spans="4:7" x14ac:dyDescent="0.35">
      <c r="D302" s="1"/>
      <c r="F302" s="1"/>
      <c r="G302" s="1"/>
    </row>
    <row r="303" spans="4:7" x14ac:dyDescent="0.35">
      <c r="D303" s="1"/>
      <c r="G303" s="1"/>
    </row>
    <row r="339" spans="4:7" x14ac:dyDescent="0.35">
      <c r="G339" s="1"/>
    </row>
    <row r="352" spans="4:7" x14ac:dyDescent="0.35">
      <c r="D352" s="1"/>
      <c r="G352" s="1"/>
    </row>
    <row r="353" spans="4:7" x14ac:dyDescent="0.35">
      <c r="D353" s="1"/>
      <c r="G353" s="1"/>
    </row>
    <row r="357" spans="4:7" x14ac:dyDescent="0.35">
      <c r="D357" s="1"/>
      <c r="G357" s="1"/>
    </row>
    <row r="360" spans="4:7" x14ac:dyDescent="0.35">
      <c r="G360" s="1"/>
    </row>
    <row r="362" spans="4:7" x14ac:dyDescent="0.35">
      <c r="D362" s="1"/>
      <c r="G362" s="1"/>
    </row>
    <row r="369" spans="4:7" x14ac:dyDescent="0.35">
      <c r="D369" s="1"/>
      <c r="G369" s="1"/>
    </row>
    <row r="374" spans="4:7" x14ac:dyDescent="0.35">
      <c r="D374" s="1"/>
      <c r="F374" s="1"/>
      <c r="G374" s="1"/>
    </row>
    <row r="390" spans="4:7" x14ac:dyDescent="0.35">
      <c r="D390" s="1"/>
      <c r="G390" s="1"/>
    </row>
    <row r="399" spans="4:7" x14ac:dyDescent="0.35">
      <c r="D399" s="1"/>
      <c r="G399" s="1"/>
    </row>
    <row r="422" spans="7:7" x14ac:dyDescent="0.35">
      <c r="G422" s="1"/>
    </row>
    <row r="432" spans="7:7" x14ac:dyDescent="0.35">
      <c r="G432" s="1"/>
    </row>
    <row r="446" spans="4:7" x14ac:dyDescent="0.35">
      <c r="D446" s="1"/>
      <c r="G446" s="1"/>
    </row>
    <row r="450" spans="4:7" x14ac:dyDescent="0.35">
      <c r="D450" s="1"/>
      <c r="G450" s="1"/>
    </row>
    <row r="473" spans="7:7" x14ac:dyDescent="0.35">
      <c r="G473" s="1"/>
    </row>
    <row r="489" spans="4:7" x14ac:dyDescent="0.35">
      <c r="D489" s="1"/>
      <c r="G489" s="1"/>
    </row>
    <row r="498" spans="4:7" x14ac:dyDescent="0.35">
      <c r="D498" s="1"/>
      <c r="G498" s="1"/>
    </row>
    <row r="504" spans="4:7" x14ac:dyDescent="0.35">
      <c r="D504" s="1"/>
      <c r="G504" s="1"/>
    </row>
    <row r="508" spans="4:7" x14ac:dyDescent="0.35">
      <c r="D508" s="1"/>
      <c r="G508" s="1"/>
    </row>
    <row r="510" spans="4:7" x14ac:dyDescent="0.35">
      <c r="G510" s="1"/>
    </row>
    <row r="512" spans="4:7" x14ac:dyDescent="0.35">
      <c r="D512" s="1"/>
      <c r="G512" s="1"/>
    </row>
    <row r="514" spans="4:7" x14ac:dyDescent="0.35">
      <c r="D514" s="1"/>
      <c r="F514" s="1"/>
      <c r="G514" s="1"/>
    </row>
    <row r="548" spans="7:7" x14ac:dyDescent="0.35">
      <c r="G548" s="1"/>
    </row>
    <row r="588" spans="7:7" x14ac:dyDescent="0.35">
      <c r="G588" s="1"/>
    </row>
    <row r="626" spans="4:7" x14ac:dyDescent="0.35">
      <c r="D626" s="1"/>
      <c r="G626" s="1"/>
    </row>
    <row r="632" spans="4:7" x14ac:dyDescent="0.35">
      <c r="D632" s="1"/>
      <c r="G632" s="1"/>
    </row>
  </sheetData>
  <autoFilter ref="A1:H850" xr:uid="{0C3776E2-D6D9-4F48-9918-6B5A4AD1CCC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E244-B400-4FE0-9281-F307C6FF3141}">
  <dimension ref="A1:S52"/>
  <sheetViews>
    <sheetView zoomScale="80" zoomScaleNormal="80" workbookViewId="0">
      <selection activeCell="N25" sqref="N25"/>
    </sheetView>
  </sheetViews>
  <sheetFormatPr baseColWidth="10" defaultRowHeight="14.5" x14ac:dyDescent="0.35"/>
  <cols>
    <col min="1" max="1" width="7.1796875" bestFit="1" customWidth="1"/>
    <col min="2" max="2" width="7.1796875" customWidth="1"/>
    <col min="3" max="3" width="35.54296875" bestFit="1" customWidth="1"/>
    <col min="4" max="4" width="8.08984375" bestFit="1" customWidth="1"/>
    <col min="5" max="5" width="11.54296875" bestFit="1" customWidth="1"/>
    <col min="6" max="6" width="7.1796875" bestFit="1" customWidth="1"/>
    <col min="7" max="7" width="8.54296875" bestFit="1" customWidth="1"/>
    <col min="8" max="8" width="13.08984375" bestFit="1" customWidth="1"/>
    <col min="9" max="9" width="10.36328125" bestFit="1" customWidth="1"/>
    <col min="10" max="10" width="12" bestFit="1" customWidth="1"/>
    <col min="11" max="11" width="13.36328125" bestFit="1" customWidth="1"/>
    <col min="12" max="12" width="12.1796875" bestFit="1" customWidth="1"/>
    <col min="13" max="13" width="7" bestFit="1" customWidth="1"/>
    <col min="14" max="14" width="12.36328125" bestFit="1" customWidth="1"/>
    <col min="15" max="15" width="11.54296875" bestFit="1" customWidth="1"/>
    <col min="16" max="16" width="6.54296875" bestFit="1" customWidth="1"/>
    <col min="17" max="17" width="10.81640625" bestFit="1" customWidth="1"/>
  </cols>
  <sheetData>
    <row r="1" spans="1:19" x14ac:dyDescent="0.35">
      <c r="A1" s="4"/>
      <c r="B1" s="53"/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6" t="s">
        <v>34</v>
      </c>
      <c r="R1" s="5" t="s">
        <v>76</v>
      </c>
    </row>
    <row r="2" spans="1:19" x14ac:dyDescent="0.35">
      <c r="A2" s="7" t="s">
        <v>35</v>
      </c>
      <c r="B2" s="54"/>
      <c r="C2" s="2"/>
      <c r="D2" s="3"/>
      <c r="E2" s="3"/>
      <c r="F2" s="3"/>
      <c r="G2" s="3"/>
      <c r="H2" s="3">
        <v>26.53</v>
      </c>
      <c r="I2" s="3"/>
      <c r="J2" s="3"/>
      <c r="K2" s="3"/>
      <c r="L2" s="3"/>
      <c r="M2" s="3"/>
      <c r="N2" s="3"/>
      <c r="O2" s="3">
        <v>238.78</v>
      </c>
      <c r="P2" s="3"/>
      <c r="Q2" s="8"/>
      <c r="R2" t="s">
        <v>42</v>
      </c>
      <c r="S2" s="28">
        <f>D2+H2</f>
        <v>26.53</v>
      </c>
    </row>
    <row r="3" spans="1:19" x14ac:dyDescent="0.35">
      <c r="A3" s="7" t="s">
        <v>35</v>
      </c>
      <c r="B3" s="54"/>
      <c r="C3" s="2"/>
      <c r="D3" s="3">
        <v>488.97</v>
      </c>
      <c r="E3" s="3">
        <v>-31.05</v>
      </c>
      <c r="F3" s="3"/>
      <c r="G3" s="3">
        <v>457.92</v>
      </c>
      <c r="H3" s="3">
        <v>151.09</v>
      </c>
      <c r="I3" s="3"/>
      <c r="J3" s="3"/>
      <c r="K3" s="3"/>
      <c r="L3" s="3"/>
      <c r="M3" s="3"/>
      <c r="N3" s="3"/>
      <c r="O3" s="3">
        <v>132.65</v>
      </c>
      <c r="P3" s="3"/>
      <c r="Q3" s="8"/>
      <c r="R3" t="s">
        <v>43</v>
      </c>
      <c r="S3" s="28">
        <f t="shared" ref="S3:S51" si="0">D3+H3</f>
        <v>640.06000000000006</v>
      </c>
    </row>
    <row r="4" spans="1:19" x14ac:dyDescent="0.35">
      <c r="A4" s="7" t="s">
        <v>35</v>
      </c>
      <c r="B4" s="54"/>
      <c r="C4" s="2"/>
      <c r="D4" s="3">
        <v>977.92</v>
      </c>
      <c r="E4" s="3">
        <v>-62.1</v>
      </c>
      <c r="F4" s="3"/>
      <c r="G4" s="3">
        <v>915.82</v>
      </c>
      <c r="H4" s="3">
        <v>302.18</v>
      </c>
      <c r="I4" s="3"/>
      <c r="J4" s="3"/>
      <c r="K4" s="3"/>
      <c r="L4" s="3"/>
      <c r="M4" s="3"/>
      <c r="N4" s="3"/>
      <c r="O4" s="3"/>
      <c r="P4" s="3"/>
      <c r="Q4" s="8"/>
      <c r="R4" t="s">
        <v>44</v>
      </c>
      <c r="S4" s="28">
        <f t="shared" si="0"/>
        <v>1280.0999999999999</v>
      </c>
    </row>
    <row r="5" spans="1:19" x14ac:dyDescent="0.35">
      <c r="A5" s="7" t="s">
        <v>36</v>
      </c>
      <c r="B5" s="54"/>
      <c r="C5" s="2"/>
      <c r="D5" s="3">
        <v>1027.4100000000001</v>
      </c>
      <c r="E5" s="3">
        <v>-65.239999999999995</v>
      </c>
      <c r="F5" s="3"/>
      <c r="G5" s="3">
        <v>962.17</v>
      </c>
      <c r="H5" s="3">
        <v>321.06</v>
      </c>
      <c r="I5" s="3"/>
      <c r="J5" s="3"/>
      <c r="K5" s="3"/>
      <c r="L5" s="3"/>
      <c r="M5" s="3"/>
      <c r="N5" s="3"/>
      <c r="O5" s="3"/>
      <c r="P5" s="3"/>
      <c r="Q5" s="8"/>
      <c r="R5" t="s">
        <v>42</v>
      </c>
      <c r="S5" s="28">
        <f t="shared" si="0"/>
        <v>1348.47</v>
      </c>
    </row>
    <row r="6" spans="1:19" x14ac:dyDescent="0.35">
      <c r="A6" s="7" t="s">
        <v>36</v>
      </c>
      <c r="B6" s="54"/>
      <c r="C6" s="2"/>
      <c r="D6" s="3">
        <v>1027.4100000000001</v>
      </c>
      <c r="E6" s="3">
        <v>-65.239999999999995</v>
      </c>
      <c r="F6" s="3"/>
      <c r="G6" s="3">
        <v>962.17</v>
      </c>
      <c r="H6" s="3">
        <v>321.06</v>
      </c>
      <c r="I6" s="3"/>
      <c r="J6" s="3"/>
      <c r="K6" s="3"/>
      <c r="L6" s="3"/>
      <c r="M6" s="3"/>
      <c r="N6" s="3"/>
      <c r="O6" s="3"/>
      <c r="P6" s="3"/>
      <c r="Q6" s="8"/>
      <c r="R6" t="s">
        <v>43</v>
      </c>
      <c r="S6" s="28">
        <f t="shared" si="0"/>
        <v>1348.47</v>
      </c>
    </row>
    <row r="7" spans="1:19" x14ac:dyDescent="0.35">
      <c r="A7" s="7" t="s">
        <v>36</v>
      </c>
      <c r="B7" s="54"/>
      <c r="C7" s="2"/>
      <c r="D7" s="3">
        <v>1027.4100000000001</v>
      </c>
      <c r="E7" s="3">
        <v>-65.239999999999995</v>
      </c>
      <c r="F7" s="3"/>
      <c r="G7" s="3">
        <v>962.17</v>
      </c>
      <c r="H7" s="3">
        <v>321.06</v>
      </c>
      <c r="I7" s="3"/>
      <c r="J7" s="3"/>
      <c r="K7" s="3"/>
      <c r="L7" s="3"/>
      <c r="M7" s="3"/>
      <c r="N7" s="3"/>
      <c r="O7" s="3"/>
      <c r="P7" s="3"/>
      <c r="Q7" s="8"/>
      <c r="R7" t="s">
        <v>44</v>
      </c>
      <c r="S7" s="28">
        <f t="shared" si="0"/>
        <v>1348.47</v>
      </c>
    </row>
    <row r="8" spans="1:19" x14ac:dyDescent="0.35">
      <c r="A8" s="7" t="s">
        <v>36</v>
      </c>
      <c r="B8" s="54"/>
      <c r="C8" s="2"/>
      <c r="D8" s="3">
        <v>901.08</v>
      </c>
      <c r="E8" s="3">
        <v>-57.22</v>
      </c>
      <c r="F8" s="3">
        <v>-18.02</v>
      </c>
      <c r="G8" s="3">
        <v>825.84</v>
      </c>
      <c r="H8" s="3">
        <v>0.01</v>
      </c>
      <c r="I8" s="3"/>
      <c r="J8" s="3"/>
      <c r="K8" s="3"/>
      <c r="L8" s="3"/>
      <c r="M8" s="3"/>
      <c r="N8" s="3"/>
      <c r="O8" s="3">
        <v>281.58999999999997</v>
      </c>
      <c r="P8" s="3"/>
      <c r="Q8" s="8"/>
      <c r="R8" t="s">
        <v>42</v>
      </c>
      <c r="S8" s="28">
        <f t="shared" si="0"/>
        <v>901.09</v>
      </c>
    </row>
    <row r="9" spans="1:19" x14ac:dyDescent="0.35">
      <c r="A9" s="7" t="s">
        <v>36</v>
      </c>
      <c r="B9" s="54"/>
      <c r="C9" s="2"/>
      <c r="D9" s="3">
        <v>450.54</v>
      </c>
      <c r="E9" s="3">
        <v>-28.84</v>
      </c>
      <c r="F9" s="3">
        <v>-9.01</v>
      </c>
      <c r="G9" s="3">
        <v>412.69</v>
      </c>
      <c r="H9" s="3">
        <v>146.18</v>
      </c>
      <c r="I9" s="3"/>
      <c r="J9" s="3"/>
      <c r="K9" s="3"/>
      <c r="L9" s="3"/>
      <c r="M9" s="3"/>
      <c r="N9" s="3"/>
      <c r="O9" s="3"/>
      <c r="P9" s="3"/>
      <c r="Q9" s="8"/>
      <c r="R9" t="s">
        <v>43</v>
      </c>
      <c r="S9" s="28">
        <f t="shared" si="0"/>
        <v>596.72</v>
      </c>
    </row>
    <row r="10" spans="1:19" x14ac:dyDescent="0.35">
      <c r="A10" s="7" t="s">
        <v>36</v>
      </c>
      <c r="B10" s="54"/>
      <c r="C10" s="2"/>
      <c r="D10" s="3">
        <v>901.08</v>
      </c>
      <c r="E10" s="3">
        <v>-57.67</v>
      </c>
      <c r="F10" s="3">
        <v>-18.02</v>
      </c>
      <c r="G10" s="3">
        <v>825.39</v>
      </c>
      <c r="H10" s="3">
        <v>292.41000000000003</v>
      </c>
      <c r="I10" s="3"/>
      <c r="J10" s="3"/>
      <c r="K10" s="3"/>
      <c r="L10" s="3"/>
      <c r="M10" s="3"/>
      <c r="N10" s="3"/>
      <c r="O10" s="3"/>
      <c r="P10" s="3"/>
      <c r="Q10" s="8"/>
      <c r="R10" t="s">
        <v>44</v>
      </c>
      <c r="S10" s="28">
        <f t="shared" si="0"/>
        <v>1193.49</v>
      </c>
    </row>
    <row r="11" spans="1:19" x14ac:dyDescent="0.35">
      <c r="A11" s="7" t="s">
        <v>36</v>
      </c>
      <c r="B11" s="54"/>
      <c r="C11" s="2"/>
      <c r="D11" s="3">
        <v>1886.56</v>
      </c>
      <c r="E11" s="3">
        <v>-119.8</v>
      </c>
      <c r="F11" s="3">
        <v>-266.76</v>
      </c>
      <c r="G11" s="3">
        <v>1500</v>
      </c>
      <c r="H11" s="3">
        <v>589.54999999999995</v>
      </c>
      <c r="I11" s="3"/>
      <c r="J11" s="3"/>
      <c r="K11" s="3"/>
      <c r="L11" s="3"/>
      <c r="M11" s="3"/>
      <c r="N11" s="3"/>
      <c r="O11" s="3"/>
      <c r="P11" s="3"/>
      <c r="Q11" s="8"/>
      <c r="R11" t="s">
        <v>42</v>
      </c>
      <c r="S11" s="28">
        <f t="shared" si="0"/>
        <v>2476.1099999999997</v>
      </c>
    </row>
    <row r="12" spans="1:19" x14ac:dyDescent="0.35">
      <c r="A12" s="7" t="s">
        <v>36</v>
      </c>
      <c r="B12" s="54"/>
      <c r="C12" s="2"/>
      <c r="D12" s="3">
        <v>1886.8</v>
      </c>
      <c r="E12" s="3">
        <v>-119.82</v>
      </c>
      <c r="F12" s="3">
        <v>-266.98</v>
      </c>
      <c r="G12" s="3">
        <v>1500</v>
      </c>
      <c r="H12" s="3">
        <v>589.61</v>
      </c>
      <c r="I12" s="3"/>
      <c r="J12" s="3"/>
      <c r="K12" s="3"/>
      <c r="L12" s="3"/>
      <c r="M12" s="3"/>
      <c r="N12" s="3"/>
      <c r="O12" s="3"/>
      <c r="P12" s="3"/>
      <c r="Q12" s="8"/>
      <c r="R12" t="s">
        <v>43</v>
      </c>
      <c r="S12" s="28">
        <f t="shared" si="0"/>
        <v>2476.41</v>
      </c>
    </row>
    <row r="13" spans="1:19" x14ac:dyDescent="0.35">
      <c r="A13" s="7" t="s">
        <v>36</v>
      </c>
      <c r="B13" s="54"/>
      <c r="C13" s="2"/>
      <c r="D13" s="3">
        <v>1886.8</v>
      </c>
      <c r="E13" s="3">
        <v>-119.82</v>
      </c>
      <c r="F13" s="3">
        <v>-266.98</v>
      </c>
      <c r="G13" s="3">
        <v>1500</v>
      </c>
      <c r="H13" s="3">
        <v>589.61</v>
      </c>
      <c r="I13" s="3"/>
      <c r="J13" s="3"/>
      <c r="K13" s="3"/>
      <c r="L13" s="3"/>
      <c r="M13" s="3"/>
      <c r="N13" s="3"/>
      <c r="O13" s="3"/>
      <c r="P13" s="3"/>
      <c r="Q13" s="8"/>
      <c r="R13" t="s">
        <v>44</v>
      </c>
      <c r="S13" s="28">
        <f>D13+H13</f>
        <v>2476.41</v>
      </c>
    </row>
    <row r="14" spans="1:19" x14ac:dyDescent="0.35">
      <c r="A14" s="7" t="s">
        <v>36</v>
      </c>
      <c r="B14" s="54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8"/>
      <c r="S14" s="28">
        <f t="shared" si="0"/>
        <v>0</v>
      </c>
    </row>
    <row r="15" spans="1:19" x14ac:dyDescent="0.35">
      <c r="A15" s="7" t="s">
        <v>36</v>
      </c>
      <c r="B15" s="54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8"/>
      <c r="S15" s="28">
        <f t="shared" si="0"/>
        <v>0</v>
      </c>
    </row>
    <row r="16" spans="1:19" x14ac:dyDescent="0.35">
      <c r="A16" s="7" t="s">
        <v>36</v>
      </c>
      <c r="B16" s="54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8"/>
      <c r="S16" s="28">
        <f t="shared" si="0"/>
        <v>0</v>
      </c>
    </row>
    <row r="17" spans="1:19" x14ac:dyDescent="0.35">
      <c r="A17" s="7" t="s">
        <v>37</v>
      </c>
      <c r="B17" s="54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8"/>
      <c r="S17" s="28">
        <f t="shared" si="0"/>
        <v>0</v>
      </c>
    </row>
    <row r="18" spans="1:19" x14ac:dyDescent="0.35">
      <c r="A18" s="7" t="s">
        <v>37</v>
      </c>
      <c r="B18" s="54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8"/>
      <c r="S18" s="28">
        <f t="shared" si="0"/>
        <v>0</v>
      </c>
    </row>
    <row r="19" spans="1:19" x14ac:dyDescent="0.35">
      <c r="A19" s="7" t="s">
        <v>37</v>
      </c>
      <c r="B19" s="54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8"/>
      <c r="S19" s="28">
        <f t="shared" si="0"/>
        <v>0</v>
      </c>
    </row>
    <row r="20" spans="1:19" x14ac:dyDescent="0.35">
      <c r="A20" s="7" t="s">
        <v>37</v>
      </c>
      <c r="B20" s="54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8"/>
      <c r="S20" s="28">
        <f t="shared" si="0"/>
        <v>0</v>
      </c>
    </row>
    <row r="21" spans="1:19" x14ac:dyDescent="0.35">
      <c r="A21" s="7" t="s">
        <v>37</v>
      </c>
      <c r="B21" s="54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8"/>
      <c r="S21" s="28">
        <f t="shared" si="0"/>
        <v>0</v>
      </c>
    </row>
    <row r="22" spans="1:19" x14ac:dyDescent="0.35">
      <c r="A22" s="7" t="s">
        <v>37</v>
      </c>
      <c r="B22" s="54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8"/>
      <c r="S22" s="28">
        <f t="shared" si="0"/>
        <v>0</v>
      </c>
    </row>
    <row r="23" spans="1:19" x14ac:dyDescent="0.35">
      <c r="A23" s="7" t="s">
        <v>37</v>
      </c>
      <c r="B23" s="54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8"/>
      <c r="S23" s="28">
        <f t="shared" si="0"/>
        <v>0</v>
      </c>
    </row>
    <row r="24" spans="1:19" x14ac:dyDescent="0.35">
      <c r="A24" s="7" t="s">
        <v>37</v>
      </c>
      <c r="B24" s="54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8"/>
      <c r="S24" s="28">
        <f t="shared" si="0"/>
        <v>0</v>
      </c>
    </row>
    <row r="25" spans="1:19" x14ac:dyDescent="0.35">
      <c r="A25" s="7" t="s">
        <v>37</v>
      </c>
      <c r="B25" s="54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8"/>
      <c r="S25" s="28">
        <f t="shared" si="0"/>
        <v>0</v>
      </c>
    </row>
    <row r="26" spans="1:19" x14ac:dyDescent="0.35">
      <c r="A26" s="7" t="s">
        <v>37</v>
      </c>
      <c r="B26" s="54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8"/>
      <c r="S26" s="28">
        <f t="shared" si="0"/>
        <v>0</v>
      </c>
    </row>
    <row r="27" spans="1:19" x14ac:dyDescent="0.35">
      <c r="A27" s="7" t="s">
        <v>37</v>
      </c>
      <c r="B27" s="54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8"/>
      <c r="S27" s="28">
        <f t="shared" si="0"/>
        <v>0</v>
      </c>
    </row>
    <row r="28" spans="1:19" x14ac:dyDescent="0.35">
      <c r="A28" s="7" t="s">
        <v>37</v>
      </c>
      <c r="B28" s="54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8"/>
      <c r="S28" s="28">
        <f t="shared" si="0"/>
        <v>0</v>
      </c>
    </row>
    <row r="29" spans="1:19" x14ac:dyDescent="0.35">
      <c r="A29" s="7" t="s">
        <v>38</v>
      </c>
      <c r="B29" s="54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8"/>
      <c r="S29" s="28">
        <f t="shared" si="0"/>
        <v>0</v>
      </c>
    </row>
    <row r="30" spans="1:19" x14ac:dyDescent="0.35">
      <c r="A30" s="7" t="s">
        <v>38</v>
      </c>
      <c r="B30" s="54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8"/>
      <c r="S30" s="28">
        <f t="shared" si="0"/>
        <v>0</v>
      </c>
    </row>
    <row r="31" spans="1:19" x14ac:dyDescent="0.35">
      <c r="A31" s="7" t="s">
        <v>38</v>
      </c>
      <c r="B31" s="54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8"/>
      <c r="S31" s="28">
        <f t="shared" si="0"/>
        <v>0</v>
      </c>
    </row>
    <row r="32" spans="1:19" x14ac:dyDescent="0.35">
      <c r="A32" s="7" t="s">
        <v>38</v>
      </c>
      <c r="B32" s="54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8"/>
      <c r="S32" s="28">
        <f t="shared" si="0"/>
        <v>0</v>
      </c>
    </row>
    <row r="33" spans="1:19" x14ac:dyDescent="0.35">
      <c r="A33" s="7" t="s">
        <v>38</v>
      </c>
      <c r="B33" s="54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8"/>
      <c r="S33" s="28">
        <f t="shared" si="0"/>
        <v>0</v>
      </c>
    </row>
    <row r="34" spans="1:19" x14ac:dyDescent="0.35">
      <c r="A34" s="7" t="s">
        <v>38</v>
      </c>
      <c r="B34" s="54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8"/>
      <c r="S34" s="28">
        <f t="shared" si="0"/>
        <v>0</v>
      </c>
    </row>
    <row r="35" spans="1:19" x14ac:dyDescent="0.35">
      <c r="A35" s="7" t="s">
        <v>38</v>
      </c>
      <c r="B35" s="54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8"/>
      <c r="S35" s="28">
        <f t="shared" si="0"/>
        <v>0</v>
      </c>
    </row>
    <row r="36" spans="1:19" x14ac:dyDescent="0.35">
      <c r="A36" s="7" t="s">
        <v>38</v>
      </c>
      <c r="B36" s="54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8"/>
      <c r="S36" s="28">
        <f t="shared" si="0"/>
        <v>0</v>
      </c>
    </row>
    <row r="37" spans="1:19" x14ac:dyDescent="0.35">
      <c r="A37" s="7" t="s">
        <v>39</v>
      </c>
      <c r="B37" s="54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8"/>
      <c r="S37" s="28">
        <f t="shared" si="0"/>
        <v>0</v>
      </c>
    </row>
    <row r="38" spans="1:19" x14ac:dyDescent="0.35">
      <c r="A38" s="7" t="s">
        <v>39</v>
      </c>
      <c r="B38" s="54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8"/>
      <c r="S38" s="28">
        <f t="shared" si="0"/>
        <v>0</v>
      </c>
    </row>
    <row r="39" spans="1:19" x14ac:dyDescent="0.35">
      <c r="A39" s="7" t="s">
        <v>40</v>
      </c>
      <c r="B39" s="54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8"/>
      <c r="S39" s="28">
        <f t="shared" si="0"/>
        <v>0</v>
      </c>
    </row>
    <row r="40" spans="1:19" x14ac:dyDescent="0.35">
      <c r="A40" s="7" t="s">
        <v>40</v>
      </c>
      <c r="B40" s="54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8"/>
      <c r="S40" s="28">
        <f t="shared" si="0"/>
        <v>0</v>
      </c>
    </row>
    <row r="41" spans="1:19" x14ac:dyDescent="0.35">
      <c r="A41" s="7" t="s">
        <v>41</v>
      </c>
      <c r="B41" s="54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8"/>
      <c r="S41" s="28">
        <f t="shared" ref="S41:S49" si="1">D41+H41+I41</f>
        <v>0</v>
      </c>
    </row>
    <row r="42" spans="1:19" x14ac:dyDescent="0.35">
      <c r="A42" s="7" t="s">
        <v>41</v>
      </c>
      <c r="B42" s="54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8"/>
      <c r="S42" s="28">
        <f t="shared" si="1"/>
        <v>0</v>
      </c>
    </row>
    <row r="43" spans="1:19" x14ac:dyDescent="0.35">
      <c r="A43" s="7" t="s">
        <v>41</v>
      </c>
      <c r="B43" s="54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8"/>
      <c r="S43" s="28">
        <f t="shared" si="1"/>
        <v>0</v>
      </c>
    </row>
    <row r="44" spans="1:19" x14ac:dyDescent="0.35">
      <c r="A44" s="7" t="s">
        <v>41</v>
      </c>
      <c r="B44" s="54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8"/>
      <c r="S44" s="28">
        <f t="shared" si="1"/>
        <v>0</v>
      </c>
    </row>
    <row r="45" spans="1:19" x14ac:dyDescent="0.35">
      <c r="A45" s="7" t="s">
        <v>41</v>
      </c>
      <c r="B45" s="54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8"/>
      <c r="S45" s="28">
        <f t="shared" si="1"/>
        <v>0</v>
      </c>
    </row>
    <row r="46" spans="1:19" x14ac:dyDescent="0.35">
      <c r="A46" s="7" t="s">
        <v>41</v>
      </c>
      <c r="B46" s="54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8"/>
      <c r="S46" s="28">
        <f t="shared" si="1"/>
        <v>0</v>
      </c>
    </row>
    <row r="47" spans="1:19" x14ac:dyDescent="0.35">
      <c r="A47" s="7" t="s">
        <v>41</v>
      </c>
      <c r="B47" s="54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8"/>
      <c r="S47" s="28">
        <f t="shared" si="1"/>
        <v>0</v>
      </c>
    </row>
    <row r="48" spans="1:19" x14ac:dyDescent="0.35">
      <c r="A48" s="7" t="s">
        <v>41</v>
      </c>
      <c r="B48" s="54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8"/>
      <c r="S48" s="28">
        <f t="shared" si="1"/>
        <v>0</v>
      </c>
    </row>
    <row r="49" spans="1:19" x14ac:dyDescent="0.35">
      <c r="A49" s="7" t="s">
        <v>41</v>
      </c>
      <c r="B49" s="54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8"/>
      <c r="S49" s="28">
        <f t="shared" si="1"/>
        <v>0</v>
      </c>
    </row>
    <row r="50" spans="1:19" x14ac:dyDescent="0.35">
      <c r="A50" s="7" t="s">
        <v>41</v>
      </c>
      <c r="B50" s="54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8"/>
      <c r="S50" s="28">
        <f t="shared" si="0"/>
        <v>0</v>
      </c>
    </row>
    <row r="51" spans="1:19" x14ac:dyDescent="0.35">
      <c r="A51" s="7" t="s">
        <v>41</v>
      </c>
      <c r="B51" s="54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8"/>
      <c r="S51" s="28">
        <f t="shared" si="0"/>
        <v>0</v>
      </c>
    </row>
    <row r="52" spans="1:19" x14ac:dyDescent="0.35">
      <c r="A52" s="7" t="s">
        <v>41</v>
      </c>
      <c r="B52" s="54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8"/>
      <c r="S52" s="28">
        <f>D52+H52</f>
        <v>0</v>
      </c>
    </row>
  </sheetData>
  <autoFilter ref="A1:S52" xr:uid="{0C35A221-A784-43DC-879B-7B956C83D94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2191-49CF-4968-832A-75D1576C73D6}">
  <dimension ref="A1:O14"/>
  <sheetViews>
    <sheetView workbookViewId="0">
      <selection activeCell="E21" sqref="E21"/>
    </sheetView>
  </sheetViews>
  <sheetFormatPr baseColWidth="10" defaultRowHeight="14.5" x14ac:dyDescent="0.35"/>
  <cols>
    <col min="1" max="2" width="18.453125" customWidth="1"/>
    <col min="15" max="15" width="11.54296875" bestFit="1" customWidth="1"/>
  </cols>
  <sheetData>
    <row r="1" spans="1:15" x14ac:dyDescent="0.35">
      <c r="B1" t="s">
        <v>111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</row>
    <row r="2" spans="1:15" x14ac:dyDescent="0.35">
      <c r="A2" s="9" t="s">
        <v>127</v>
      </c>
      <c r="B2" s="9"/>
      <c r="C2" s="10">
        <v>650.5</v>
      </c>
      <c r="D2" s="10">
        <v>3640.65</v>
      </c>
      <c r="E2" s="10">
        <v>1962.35</v>
      </c>
      <c r="F2" s="10"/>
      <c r="G2" s="10"/>
      <c r="H2" s="10"/>
      <c r="I2" s="10"/>
      <c r="J2" s="10"/>
      <c r="K2" s="10"/>
      <c r="L2" s="10"/>
      <c r="M2" s="10"/>
      <c r="N2" s="10"/>
      <c r="O2" s="11">
        <v>16468.27</v>
      </c>
    </row>
    <row r="3" spans="1:15" x14ac:dyDescent="0.35">
      <c r="A3" s="9" t="s">
        <v>128</v>
      </c>
      <c r="B3" s="9"/>
      <c r="C3" s="11">
        <v>1775.1675</v>
      </c>
      <c r="D3" s="11">
        <v>670.49900000000002</v>
      </c>
      <c r="E3" s="11">
        <v>264.5</v>
      </c>
      <c r="F3" s="11"/>
      <c r="G3" s="11"/>
      <c r="H3" s="11"/>
      <c r="I3" s="10"/>
      <c r="J3" s="11"/>
      <c r="K3" s="11"/>
      <c r="L3" s="11"/>
      <c r="M3" s="11"/>
      <c r="N3" s="11"/>
      <c r="O3" s="11">
        <v>15418.345500000001</v>
      </c>
    </row>
    <row r="4" spans="1:15" x14ac:dyDescent="0.35">
      <c r="A4" s="9" t="s">
        <v>129</v>
      </c>
      <c r="B4" s="9"/>
      <c r="C4" s="10">
        <v>1845.5340000000001</v>
      </c>
      <c r="D4" s="10">
        <v>759.85784297520661</v>
      </c>
      <c r="E4" s="10">
        <v>1575.692</v>
      </c>
      <c r="F4" s="10"/>
      <c r="G4" s="10"/>
      <c r="H4" s="10"/>
      <c r="I4" s="10"/>
      <c r="J4" s="10"/>
      <c r="K4" s="10"/>
      <c r="L4" s="10"/>
      <c r="M4" s="10"/>
      <c r="N4" s="10"/>
      <c r="O4" s="10">
        <v>17938.457842975207</v>
      </c>
    </row>
    <row r="5" spans="1:15" x14ac:dyDescent="0.35">
      <c r="A5" s="9" t="s">
        <v>130</v>
      </c>
      <c r="B5" s="9"/>
      <c r="C5" s="10">
        <v>3728.6435000000001</v>
      </c>
      <c r="D5" s="10">
        <v>2076.0720000000001</v>
      </c>
      <c r="E5" s="11">
        <v>1712.25</v>
      </c>
      <c r="F5" s="10"/>
      <c r="G5" s="10"/>
      <c r="H5" s="10"/>
      <c r="I5" s="10"/>
      <c r="J5" s="10"/>
      <c r="K5" s="10"/>
      <c r="L5" s="10"/>
      <c r="M5" s="10"/>
      <c r="N5" s="11"/>
      <c r="O5" s="10">
        <v>24886.595499999996</v>
      </c>
    </row>
    <row r="6" spans="1:15" x14ac:dyDescent="0.35">
      <c r="C6" s="11">
        <f t="shared" ref="C6:E6" si="0">SUM(C2:C5)</f>
        <v>7999.8450000000003</v>
      </c>
      <c r="D6" s="11">
        <f t="shared" si="0"/>
        <v>7147.0788429752074</v>
      </c>
      <c r="E6" s="11">
        <f t="shared" si="0"/>
        <v>5514.7919999999995</v>
      </c>
      <c r="F6" s="11"/>
      <c r="G6" s="11"/>
      <c r="H6" s="11"/>
      <c r="I6" s="11"/>
      <c r="J6" s="11"/>
      <c r="K6" s="11"/>
      <c r="L6" s="11"/>
      <c r="M6" s="11"/>
      <c r="N6" s="11"/>
      <c r="O6" s="11">
        <f t="shared" ref="O6" si="1">SUM(O2:O5)</f>
        <v>74711.668842975196</v>
      </c>
    </row>
    <row r="9" spans="1:15" x14ac:dyDescent="0.35">
      <c r="C9" t="str">
        <f>'Análisis Datos'!K6</f>
        <v>Marzo</v>
      </c>
      <c r="D9" t="s">
        <v>78</v>
      </c>
    </row>
    <row r="11" spans="1:15" x14ac:dyDescent="0.35">
      <c r="A11" s="9" t="s">
        <v>127</v>
      </c>
      <c r="B11" s="9"/>
      <c r="C11">
        <f>VLOOKUP(A11,A2:N2,MATCH($C$9,$A$1:$N$1,0),0)</f>
        <v>1962.35</v>
      </c>
      <c r="D11" s="80">
        <f>SUMPRODUCT(C2:N2,'Cta Resultados'!$Q$1:$AB$1)</f>
        <v>6253.5</v>
      </c>
    </row>
    <row r="12" spans="1:15" x14ac:dyDescent="0.35">
      <c r="A12" s="9" t="s">
        <v>128</v>
      </c>
      <c r="B12" s="9"/>
      <c r="C12">
        <f>VLOOKUP(A12,A3:N3,MATCH($C$9,$A$1:$N$1,0),0)</f>
        <v>264.5</v>
      </c>
      <c r="D12" s="80">
        <f>SUMPRODUCT(C3:N3,'Cta Resultados'!$Q$1:$AB$1)</f>
        <v>2710.1665000000003</v>
      </c>
    </row>
    <row r="13" spans="1:15" x14ac:dyDescent="0.35">
      <c r="A13" s="9" t="s">
        <v>129</v>
      </c>
      <c r="B13" s="9"/>
      <c r="C13">
        <f>VLOOKUP(A13,A4:N4,MATCH($C$9,$A$1:$N$1,0),0)</f>
        <v>1575.692</v>
      </c>
      <c r="D13" s="80">
        <f>SUMPRODUCT(C4:N4,'Cta Resultados'!$Q$1:$AB$1)</f>
        <v>4181.0838429752066</v>
      </c>
    </row>
    <row r="14" spans="1:15" x14ac:dyDescent="0.35">
      <c r="A14" s="9" t="s">
        <v>130</v>
      </c>
      <c r="B14" s="9"/>
      <c r="C14">
        <f>VLOOKUP(A14,A5:N5,MATCH($C$9,$A$1:$N$1,0),0)</f>
        <v>1712.25</v>
      </c>
      <c r="D14" s="80">
        <f>SUMPRODUCT(C5:N5,'Cta Resultados'!$Q$1:$AB$1)</f>
        <v>7516.9655000000002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dimension ref="A1:O154"/>
  <sheetViews>
    <sheetView topLeftCell="F2" workbookViewId="0">
      <selection activeCell="N24" sqref="N24"/>
    </sheetView>
  </sheetViews>
  <sheetFormatPr baseColWidth="10" defaultRowHeight="14.5" x14ac:dyDescent="0.35"/>
  <cols>
    <col min="5" max="5" width="62.453125" bestFit="1" customWidth="1"/>
  </cols>
  <sheetData>
    <row r="1" spans="1:14" x14ac:dyDescent="0.35">
      <c r="A1" s="13" t="s">
        <v>10</v>
      </c>
      <c r="B1" s="13" t="s">
        <v>11</v>
      </c>
      <c r="C1" s="13" t="s">
        <v>84</v>
      </c>
      <c r="D1" t="s">
        <v>1</v>
      </c>
      <c r="E1" t="s">
        <v>12</v>
      </c>
      <c r="F1" t="s">
        <v>13</v>
      </c>
      <c r="G1" t="s">
        <v>14</v>
      </c>
      <c r="H1" t="s">
        <v>5</v>
      </c>
      <c r="I1" t="s">
        <v>6</v>
      </c>
      <c r="J1" t="s">
        <v>15</v>
      </c>
      <c r="K1" t="s">
        <v>7</v>
      </c>
      <c r="L1" t="s">
        <v>16</v>
      </c>
      <c r="M1" t="s">
        <v>85</v>
      </c>
      <c r="N1" t="s">
        <v>86</v>
      </c>
    </row>
    <row r="2" spans="1:14" x14ac:dyDescent="0.35">
      <c r="A2" s="40"/>
      <c r="B2" s="40"/>
      <c r="C2" s="13"/>
      <c r="D2" t="s">
        <v>44</v>
      </c>
      <c r="F2">
        <v>41.32</v>
      </c>
      <c r="G2">
        <v>0</v>
      </c>
      <c r="H2">
        <v>8.68</v>
      </c>
      <c r="I2">
        <v>50</v>
      </c>
      <c r="J2">
        <v>0</v>
      </c>
      <c r="K2">
        <v>50</v>
      </c>
      <c r="L2" t="s">
        <v>18</v>
      </c>
      <c r="M2" t="s">
        <v>87</v>
      </c>
      <c r="N2" t="s">
        <v>88</v>
      </c>
    </row>
    <row r="3" spans="1:14" x14ac:dyDescent="0.35">
      <c r="A3" s="40"/>
      <c r="B3" s="13"/>
      <c r="C3" s="13"/>
      <c r="D3" t="s">
        <v>42</v>
      </c>
      <c r="F3">
        <v>40.5</v>
      </c>
      <c r="G3">
        <v>0</v>
      </c>
      <c r="H3">
        <v>8.51</v>
      </c>
      <c r="I3">
        <v>49.01</v>
      </c>
      <c r="J3">
        <v>0</v>
      </c>
      <c r="K3">
        <v>49.01</v>
      </c>
      <c r="L3" t="s">
        <v>18</v>
      </c>
      <c r="M3" t="s">
        <v>89</v>
      </c>
      <c r="N3" t="s">
        <v>89</v>
      </c>
    </row>
    <row r="4" spans="1:14" x14ac:dyDescent="0.35">
      <c r="A4" s="40"/>
      <c r="B4" s="40"/>
      <c r="C4" s="13"/>
      <c r="D4" t="s">
        <v>44</v>
      </c>
      <c r="F4">
        <v>28.31</v>
      </c>
      <c r="G4">
        <v>0</v>
      </c>
      <c r="H4">
        <v>5.95</v>
      </c>
      <c r="I4">
        <v>34.26</v>
      </c>
      <c r="J4">
        <v>0</v>
      </c>
      <c r="K4">
        <v>34.26</v>
      </c>
      <c r="L4" t="s">
        <v>18</v>
      </c>
      <c r="M4" t="s">
        <v>87</v>
      </c>
      <c r="N4" t="s">
        <v>93</v>
      </c>
    </row>
    <row r="5" spans="1:14" x14ac:dyDescent="0.35">
      <c r="A5" s="40"/>
      <c r="B5" s="13"/>
      <c r="C5" s="13"/>
      <c r="D5" t="s">
        <v>42</v>
      </c>
      <c r="F5">
        <v>39.72</v>
      </c>
      <c r="G5">
        <v>0</v>
      </c>
      <c r="H5">
        <v>8.34</v>
      </c>
      <c r="I5">
        <v>48.06</v>
      </c>
      <c r="J5">
        <v>48.06</v>
      </c>
      <c r="K5">
        <v>0</v>
      </c>
      <c r="L5" t="s">
        <v>17</v>
      </c>
      <c r="M5" t="s">
        <v>87</v>
      </c>
      <c r="N5" t="s">
        <v>88</v>
      </c>
    </row>
    <row r="6" spans="1:14" x14ac:dyDescent="0.35">
      <c r="A6" s="40"/>
      <c r="B6" s="13"/>
      <c r="C6" s="13"/>
      <c r="D6" t="s">
        <v>43</v>
      </c>
      <c r="F6">
        <v>39.72</v>
      </c>
      <c r="G6">
        <v>0</v>
      </c>
      <c r="H6">
        <v>8.34</v>
      </c>
      <c r="I6">
        <v>48.06</v>
      </c>
      <c r="J6">
        <v>48.06</v>
      </c>
      <c r="K6">
        <v>0</v>
      </c>
      <c r="L6" t="s">
        <v>17</v>
      </c>
      <c r="M6" t="s">
        <v>87</v>
      </c>
      <c r="N6" t="s">
        <v>88</v>
      </c>
    </row>
    <row r="7" spans="1:14" x14ac:dyDescent="0.35">
      <c r="A7" s="40"/>
      <c r="B7" s="13"/>
      <c r="C7" s="13"/>
      <c r="D7" t="s">
        <v>44</v>
      </c>
      <c r="F7">
        <v>39.6</v>
      </c>
      <c r="G7">
        <v>0</v>
      </c>
      <c r="H7">
        <v>8.32</v>
      </c>
      <c r="I7">
        <v>47.92</v>
      </c>
      <c r="J7">
        <v>47.92</v>
      </c>
      <c r="K7">
        <v>0</v>
      </c>
      <c r="L7" t="s">
        <v>17</v>
      </c>
      <c r="M7" t="s">
        <v>87</v>
      </c>
      <c r="N7" t="s">
        <v>88</v>
      </c>
    </row>
    <row r="8" spans="1:14" x14ac:dyDescent="0.35">
      <c r="A8" s="40"/>
      <c r="B8" s="40"/>
      <c r="C8" s="13"/>
      <c r="D8" t="s">
        <v>43</v>
      </c>
      <c r="F8">
        <v>175</v>
      </c>
      <c r="G8">
        <v>12.25</v>
      </c>
      <c r="H8">
        <v>0</v>
      </c>
      <c r="I8">
        <v>162.75</v>
      </c>
      <c r="J8">
        <v>162.75</v>
      </c>
      <c r="K8">
        <v>0</v>
      </c>
      <c r="L8" t="s">
        <v>17</v>
      </c>
      <c r="M8" t="s">
        <v>89</v>
      </c>
      <c r="N8" t="s">
        <v>89</v>
      </c>
    </row>
    <row r="9" spans="1:14" x14ac:dyDescent="0.35">
      <c r="A9" s="40"/>
      <c r="B9" s="13"/>
      <c r="C9" s="13"/>
      <c r="D9" t="s">
        <v>42</v>
      </c>
      <c r="F9">
        <v>724.28</v>
      </c>
      <c r="G9">
        <v>0</v>
      </c>
      <c r="H9">
        <v>152.1</v>
      </c>
      <c r="I9">
        <v>876.38</v>
      </c>
      <c r="J9">
        <v>0</v>
      </c>
      <c r="K9">
        <v>876.38</v>
      </c>
      <c r="L9" t="s">
        <v>18</v>
      </c>
      <c r="M9" t="s">
        <v>87</v>
      </c>
      <c r="N9" t="s">
        <v>95</v>
      </c>
    </row>
    <row r="10" spans="1:14" x14ac:dyDescent="0.35">
      <c r="A10" s="40"/>
      <c r="B10" s="13"/>
      <c r="C10" s="13"/>
      <c r="D10" t="s">
        <v>43</v>
      </c>
      <c r="F10">
        <v>366.16</v>
      </c>
      <c r="G10">
        <v>0</v>
      </c>
      <c r="H10">
        <v>76.89</v>
      </c>
      <c r="I10">
        <v>443.05</v>
      </c>
      <c r="J10">
        <v>443.05</v>
      </c>
      <c r="K10">
        <v>0</v>
      </c>
      <c r="L10" t="s">
        <v>17</v>
      </c>
      <c r="M10" t="s">
        <v>87</v>
      </c>
      <c r="N10" t="s">
        <v>95</v>
      </c>
    </row>
    <row r="11" spans="1:14" x14ac:dyDescent="0.35">
      <c r="A11" s="40"/>
      <c r="B11" s="13"/>
      <c r="C11" s="13"/>
      <c r="D11" t="s">
        <v>44</v>
      </c>
      <c r="F11">
        <v>362.23</v>
      </c>
      <c r="G11">
        <v>0</v>
      </c>
      <c r="H11">
        <v>76.069999999999993</v>
      </c>
      <c r="I11">
        <v>438.3</v>
      </c>
      <c r="J11">
        <v>438.3</v>
      </c>
      <c r="K11">
        <v>0</v>
      </c>
      <c r="L11" t="s">
        <v>17</v>
      </c>
      <c r="M11" t="s">
        <v>87</v>
      </c>
      <c r="N11" t="s">
        <v>95</v>
      </c>
    </row>
    <row r="12" spans="1:14" x14ac:dyDescent="0.35">
      <c r="A12" s="40"/>
      <c r="B12" s="13"/>
      <c r="C12" s="13"/>
      <c r="D12" t="s">
        <v>42</v>
      </c>
      <c r="F12">
        <v>54.6</v>
      </c>
      <c r="G12">
        <v>0</v>
      </c>
      <c r="H12">
        <v>11.47</v>
      </c>
      <c r="I12">
        <v>66.069999999999993</v>
      </c>
      <c r="J12">
        <v>66.069999999999993</v>
      </c>
      <c r="K12">
        <v>0</v>
      </c>
      <c r="L12" t="s">
        <v>17</v>
      </c>
      <c r="M12" t="s">
        <v>89</v>
      </c>
      <c r="N12" t="s">
        <v>89</v>
      </c>
    </row>
    <row r="13" spans="1:14" x14ac:dyDescent="0.35">
      <c r="A13" s="40"/>
      <c r="B13" s="13"/>
      <c r="C13" s="13"/>
      <c r="D13" t="s">
        <v>42</v>
      </c>
      <c r="F13">
        <v>48</v>
      </c>
      <c r="G13">
        <v>0</v>
      </c>
      <c r="H13">
        <v>10.08</v>
      </c>
      <c r="I13">
        <v>58.08</v>
      </c>
      <c r="J13">
        <v>58.08</v>
      </c>
      <c r="K13">
        <v>0</v>
      </c>
      <c r="L13" t="s">
        <v>17</v>
      </c>
      <c r="M13" t="s">
        <v>89</v>
      </c>
      <c r="N13" t="s">
        <v>89</v>
      </c>
    </row>
    <row r="14" spans="1:14" x14ac:dyDescent="0.35">
      <c r="A14" s="40"/>
      <c r="B14" s="13"/>
      <c r="C14" s="13"/>
      <c r="D14" t="s">
        <v>43</v>
      </c>
      <c r="F14">
        <v>54.6</v>
      </c>
      <c r="G14">
        <v>0</v>
      </c>
      <c r="H14">
        <v>11.47</v>
      </c>
      <c r="I14">
        <v>66.069999999999993</v>
      </c>
      <c r="J14">
        <v>66.069999999999993</v>
      </c>
      <c r="K14">
        <v>0</v>
      </c>
      <c r="L14" t="s">
        <v>17</v>
      </c>
      <c r="M14" t="s">
        <v>89</v>
      </c>
      <c r="N14" t="s">
        <v>89</v>
      </c>
    </row>
    <row r="15" spans="1:14" x14ac:dyDescent="0.35">
      <c r="A15" s="40"/>
      <c r="B15" s="13"/>
      <c r="C15" s="13"/>
      <c r="D15" t="s">
        <v>43</v>
      </c>
      <c r="F15">
        <v>48</v>
      </c>
      <c r="G15">
        <v>0</v>
      </c>
      <c r="H15">
        <v>10.08</v>
      </c>
      <c r="I15">
        <v>58.08</v>
      </c>
      <c r="J15">
        <v>58.08</v>
      </c>
      <c r="K15">
        <v>0</v>
      </c>
      <c r="L15" t="s">
        <v>17</v>
      </c>
      <c r="M15" t="s">
        <v>89</v>
      </c>
      <c r="N15" t="s">
        <v>89</v>
      </c>
    </row>
    <row r="16" spans="1:14" x14ac:dyDescent="0.35">
      <c r="A16" s="40"/>
      <c r="B16" s="13"/>
      <c r="C16" s="13"/>
      <c r="D16" t="s">
        <v>44</v>
      </c>
      <c r="F16">
        <v>48</v>
      </c>
      <c r="G16">
        <v>0</v>
      </c>
      <c r="H16">
        <v>10.08</v>
      </c>
      <c r="I16">
        <v>58.08</v>
      </c>
      <c r="J16">
        <v>58.08</v>
      </c>
      <c r="K16">
        <v>0</v>
      </c>
      <c r="L16" t="s">
        <v>17</v>
      </c>
      <c r="M16" t="s">
        <v>89</v>
      </c>
      <c r="N16" t="s">
        <v>89</v>
      </c>
    </row>
    <row r="17" spans="1:14" x14ac:dyDescent="0.35">
      <c r="A17" s="40"/>
      <c r="B17" s="13"/>
      <c r="C17" s="13"/>
      <c r="D17" t="s">
        <v>44</v>
      </c>
      <c r="F17">
        <v>54.6</v>
      </c>
      <c r="G17">
        <v>0</v>
      </c>
      <c r="H17">
        <v>11.47</v>
      </c>
      <c r="I17">
        <v>66.069999999999993</v>
      </c>
      <c r="J17">
        <v>66.069999999999993</v>
      </c>
      <c r="K17">
        <v>0</v>
      </c>
      <c r="L17" t="s">
        <v>17</v>
      </c>
      <c r="M17" t="s">
        <v>89</v>
      </c>
      <c r="N17" t="s">
        <v>89</v>
      </c>
    </row>
    <row r="18" spans="1:14" x14ac:dyDescent="0.35">
      <c r="A18" s="40"/>
      <c r="B18" s="13"/>
      <c r="C18" s="13"/>
      <c r="D18" t="s">
        <v>42</v>
      </c>
      <c r="F18">
        <v>108.07</v>
      </c>
      <c r="G18">
        <v>0</v>
      </c>
      <c r="H18">
        <v>22.69</v>
      </c>
      <c r="I18">
        <v>130.76</v>
      </c>
      <c r="J18">
        <v>130.76</v>
      </c>
      <c r="K18">
        <v>0</v>
      </c>
      <c r="L18" t="s">
        <v>17</v>
      </c>
      <c r="M18" t="s">
        <v>89</v>
      </c>
      <c r="N18" t="s">
        <v>89</v>
      </c>
    </row>
    <row r="19" spans="1:14" x14ac:dyDescent="0.35">
      <c r="A19" s="40"/>
      <c r="B19" s="13"/>
      <c r="C19" s="13"/>
      <c r="D19" t="s">
        <v>43</v>
      </c>
      <c r="F19">
        <v>108.07</v>
      </c>
      <c r="G19">
        <v>0</v>
      </c>
      <c r="H19">
        <v>22.69</v>
      </c>
      <c r="I19">
        <v>130.76</v>
      </c>
      <c r="J19">
        <v>130.76</v>
      </c>
      <c r="K19">
        <v>0</v>
      </c>
      <c r="L19" t="s">
        <v>17</v>
      </c>
      <c r="M19" t="s">
        <v>89</v>
      </c>
      <c r="N19" t="s">
        <v>89</v>
      </c>
    </row>
    <row r="20" spans="1:14" x14ac:dyDescent="0.35">
      <c r="A20" s="40"/>
      <c r="B20" s="13"/>
      <c r="C20" s="13"/>
      <c r="D20" t="s">
        <v>44</v>
      </c>
      <c r="F20">
        <v>108.07</v>
      </c>
      <c r="G20">
        <v>0</v>
      </c>
      <c r="H20">
        <v>22.69</v>
      </c>
      <c r="I20">
        <v>130.76</v>
      </c>
      <c r="J20">
        <v>130.76</v>
      </c>
      <c r="K20">
        <v>0</v>
      </c>
      <c r="L20" t="s">
        <v>17</v>
      </c>
      <c r="M20" t="s">
        <v>89</v>
      </c>
      <c r="N20" t="s">
        <v>89</v>
      </c>
    </row>
    <row r="21" spans="1:14" x14ac:dyDescent="0.35">
      <c r="A21" s="40"/>
      <c r="B21" s="40"/>
      <c r="C21" s="13"/>
      <c r="D21" t="s">
        <v>42</v>
      </c>
      <c r="F21">
        <v>15</v>
      </c>
      <c r="G21">
        <v>0</v>
      </c>
      <c r="H21">
        <v>1.5</v>
      </c>
      <c r="I21">
        <v>16.5</v>
      </c>
      <c r="J21">
        <v>16.5</v>
      </c>
      <c r="K21">
        <v>0</v>
      </c>
      <c r="L21" t="s">
        <v>17</v>
      </c>
      <c r="M21" t="s">
        <v>89</v>
      </c>
      <c r="N21" t="s">
        <v>96</v>
      </c>
    </row>
    <row r="22" spans="1:14" x14ac:dyDescent="0.35">
      <c r="A22" s="40"/>
      <c r="B22" s="40"/>
      <c r="C22" s="13"/>
      <c r="D22" t="s">
        <v>43</v>
      </c>
      <c r="F22">
        <v>15</v>
      </c>
      <c r="G22">
        <v>0</v>
      </c>
      <c r="H22">
        <v>1.5</v>
      </c>
      <c r="I22">
        <v>16.5</v>
      </c>
      <c r="J22">
        <v>16.5</v>
      </c>
      <c r="K22">
        <v>0</v>
      </c>
      <c r="L22" t="s">
        <v>17</v>
      </c>
      <c r="M22" t="s">
        <v>89</v>
      </c>
      <c r="N22" t="s">
        <v>96</v>
      </c>
    </row>
    <row r="23" spans="1:14" x14ac:dyDescent="0.35">
      <c r="A23" s="40"/>
      <c r="B23" s="13"/>
      <c r="C23" s="13"/>
      <c r="D23" t="s">
        <v>43</v>
      </c>
      <c r="E23" s="41"/>
      <c r="F23">
        <v>660</v>
      </c>
      <c r="G23">
        <v>0</v>
      </c>
      <c r="H23">
        <v>138.6</v>
      </c>
      <c r="I23">
        <v>798.6</v>
      </c>
      <c r="J23">
        <v>798.6</v>
      </c>
      <c r="K23">
        <v>0</v>
      </c>
      <c r="L23" t="s">
        <v>17</v>
      </c>
      <c r="M23" s="41" t="s">
        <v>97</v>
      </c>
      <c r="N23" s="41" t="s">
        <v>97</v>
      </c>
    </row>
    <row r="24" spans="1:14" x14ac:dyDescent="0.35">
      <c r="A24" s="40"/>
      <c r="B24" s="13"/>
      <c r="C24" s="13"/>
      <c r="D24" t="s">
        <v>42</v>
      </c>
      <c r="F24">
        <v>44.63</v>
      </c>
      <c r="G24">
        <v>0</v>
      </c>
      <c r="H24">
        <v>9.3699999999999992</v>
      </c>
      <c r="I24">
        <v>54</v>
      </c>
      <c r="J24">
        <v>54</v>
      </c>
      <c r="K24">
        <v>0</v>
      </c>
      <c r="L24" t="s">
        <v>17</v>
      </c>
      <c r="M24" t="s">
        <v>87</v>
      </c>
      <c r="N24" t="s">
        <v>93</v>
      </c>
    </row>
    <row r="25" spans="1:14" x14ac:dyDescent="0.35">
      <c r="A25" s="40"/>
      <c r="B25" s="40"/>
      <c r="C25" s="13"/>
      <c r="D25" t="s">
        <v>43</v>
      </c>
      <c r="F25">
        <v>103.55</v>
      </c>
      <c r="G25">
        <v>0</v>
      </c>
      <c r="H25">
        <v>21.75</v>
      </c>
      <c r="I25">
        <v>125.3</v>
      </c>
      <c r="J25">
        <v>125.3</v>
      </c>
      <c r="K25">
        <v>0</v>
      </c>
      <c r="L25" t="s">
        <v>17</v>
      </c>
      <c r="M25" t="s">
        <v>87</v>
      </c>
      <c r="N25" t="s">
        <v>93</v>
      </c>
    </row>
    <row r="26" spans="1:14" x14ac:dyDescent="0.35">
      <c r="A26" s="40"/>
      <c r="B26" s="13"/>
      <c r="C26" s="13"/>
      <c r="D26" t="s">
        <v>43</v>
      </c>
      <c r="F26">
        <v>16</v>
      </c>
      <c r="G26">
        <v>0</v>
      </c>
      <c r="H26">
        <v>3.36</v>
      </c>
      <c r="I26">
        <v>19.36</v>
      </c>
      <c r="J26">
        <v>19.36</v>
      </c>
      <c r="K26">
        <v>0</v>
      </c>
      <c r="L26" t="s">
        <v>17</v>
      </c>
      <c r="M26" t="s">
        <v>89</v>
      </c>
      <c r="N26" t="s">
        <v>89</v>
      </c>
    </row>
    <row r="27" spans="1:14" x14ac:dyDescent="0.35">
      <c r="A27" s="40"/>
      <c r="B27" s="40"/>
      <c r="C27" s="13"/>
      <c r="D27" t="s">
        <v>42</v>
      </c>
      <c r="F27">
        <v>108.75</v>
      </c>
      <c r="G27">
        <v>0</v>
      </c>
      <c r="H27">
        <v>22.84</v>
      </c>
      <c r="I27">
        <v>131.59</v>
      </c>
      <c r="J27">
        <v>131.59</v>
      </c>
      <c r="K27">
        <v>0</v>
      </c>
      <c r="L27" t="s">
        <v>17</v>
      </c>
      <c r="M27" t="s">
        <v>89</v>
      </c>
      <c r="N27" t="s">
        <v>89</v>
      </c>
    </row>
    <row r="28" spans="1:14" x14ac:dyDescent="0.35">
      <c r="A28" s="40"/>
      <c r="B28" s="40"/>
      <c r="C28" s="13"/>
      <c r="D28" t="s">
        <v>43</v>
      </c>
      <c r="F28">
        <v>181.24</v>
      </c>
      <c r="G28">
        <v>0</v>
      </c>
      <c r="H28">
        <v>38.06</v>
      </c>
      <c r="I28">
        <v>219.3</v>
      </c>
      <c r="J28">
        <v>219.3</v>
      </c>
      <c r="K28">
        <v>0</v>
      </c>
      <c r="L28" t="s">
        <v>17</v>
      </c>
      <c r="M28" t="s">
        <v>89</v>
      </c>
      <c r="N28" t="s">
        <v>89</v>
      </c>
    </row>
    <row r="29" spans="1:14" x14ac:dyDescent="0.35">
      <c r="A29" s="40"/>
      <c r="B29" s="40"/>
      <c r="C29" s="13"/>
      <c r="D29" t="s">
        <v>44</v>
      </c>
      <c r="F29">
        <v>70.739999999999995</v>
      </c>
      <c r="G29">
        <v>0</v>
      </c>
      <c r="H29">
        <v>14.86</v>
      </c>
      <c r="I29">
        <v>85.6</v>
      </c>
      <c r="J29">
        <v>0</v>
      </c>
      <c r="K29">
        <v>0</v>
      </c>
      <c r="L29" t="s">
        <v>18</v>
      </c>
      <c r="M29" t="s">
        <v>89</v>
      </c>
      <c r="N29" t="s">
        <v>96</v>
      </c>
    </row>
    <row r="30" spans="1:14" x14ac:dyDescent="0.35">
      <c r="A30" s="40"/>
      <c r="B30" s="13"/>
      <c r="C30" s="13"/>
      <c r="D30" t="s">
        <v>42</v>
      </c>
      <c r="F30">
        <v>55</v>
      </c>
      <c r="G30">
        <v>0</v>
      </c>
      <c r="H30">
        <v>11.55</v>
      </c>
      <c r="I30">
        <v>66.55</v>
      </c>
      <c r="J30">
        <v>66.55</v>
      </c>
      <c r="K30">
        <v>0</v>
      </c>
      <c r="L30" t="s">
        <v>17</v>
      </c>
      <c r="M30" t="s">
        <v>89</v>
      </c>
      <c r="N30" t="s">
        <v>89</v>
      </c>
    </row>
    <row r="31" spans="1:14" x14ac:dyDescent="0.35">
      <c r="A31" s="40"/>
      <c r="B31" s="13"/>
      <c r="C31" s="13"/>
      <c r="D31" t="s">
        <v>43</v>
      </c>
      <c r="F31">
        <v>55</v>
      </c>
      <c r="G31">
        <v>0</v>
      </c>
      <c r="H31">
        <v>11.55</v>
      </c>
      <c r="I31">
        <v>66.55</v>
      </c>
      <c r="J31">
        <v>66.55</v>
      </c>
      <c r="K31">
        <v>0</v>
      </c>
      <c r="L31" t="s">
        <v>17</v>
      </c>
      <c r="M31" t="s">
        <v>89</v>
      </c>
      <c r="N31" t="s">
        <v>89</v>
      </c>
    </row>
    <row r="32" spans="1:14" x14ac:dyDescent="0.35">
      <c r="A32" s="40"/>
      <c r="B32" s="13"/>
      <c r="C32" s="13"/>
      <c r="D32" t="s">
        <v>44</v>
      </c>
      <c r="F32">
        <v>55</v>
      </c>
      <c r="G32">
        <v>0</v>
      </c>
      <c r="H32">
        <v>11.55</v>
      </c>
      <c r="I32">
        <v>66.55</v>
      </c>
      <c r="J32">
        <v>66.55</v>
      </c>
      <c r="K32">
        <v>0</v>
      </c>
      <c r="L32" t="s">
        <v>17</v>
      </c>
      <c r="M32" t="s">
        <v>89</v>
      </c>
      <c r="N32" t="s">
        <v>89</v>
      </c>
    </row>
    <row r="33" spans="1:14" x14ac:dyDescent="0.35">
      <c r="A33" s="40"/>
      <c r="B33" s="13"/>
      <c r="C33" s="13"/>
      <c r="D33" t="s">
        <v>42</v>
      </c>
      <c r="F33">
        <v>118.4</v>
      </c>
      <c r="G33">
        <v>0</v>
      </c>
      <c r="H33">
        <v>24.86</v>
      </c>
      <c r="I33">
        <v>143.26</v>
      </c>
      <c r="J33">
        <v>0</v>
      </c>
      <c r="K33">
        <v>143.26</v>
      </c>
      <c r="L33" t="s">
        <v>18</v>
      </c>
      <c r="M33" t="s">
        <v>90</v>
      </c>
      <c r="N33" t="s">
        <v>99</v>
      </c>
    </row>
    <row r="34" spans="1:14" x14ac:dyDescent="0.35">
      <c r="A34" s="40"/>
      <c r="B34" s="40"/>
      <c r="C34" s="13"/>
      <c r="D34" t="s">
        <v>42</v>
      </c>
      <c r="F34">
        <v>187.57</v>
      </c>
      <c r="G34">
        <v>0</v>
      </c>
      <c r="H34">
        <v>39.39</v>
      </c>
      <c r="I34">
        <v>226.96</v>
      </c>
      <c r="J34">
        <v>226.96</v>
      </c>
      <c r="K34">
        <v>0</v>
      </c>
      <c r="L34" t="s">
        <v>17</v>
      </c>
      <c r="M34" t="s">
        <v>90</v>
      </c>
      <c r="N34" t="s">
        <v>99</v>
      </c>
    </row>
    <row r="35" spans="1:14" x14ac:dyDescent="0.35">
      <c r="A35" s="40"/>
      <c r="B35" s="40"/>
      <c r="C35" s="13"/>
      <c r="D35" t="s">
        <v>43</v>
      </c>
      <c r="F35">
        <v>187.57</v>
      </c>
      <c r="G35">
        <v>0</v>
      </c>
      <c r="H35">
        <v>39.39</v>
      </c>
      <c r="I35">
        <v>226.96</v>
      </c>
      <c r="J35">
        <v>226.96</v>
      </c>
      <c r="K35">
        <v>0</v>
      </c>
      <c r="L35" t="s">
        <v>17</v>
      </c>
      <c r="M35" t="s">
        <v>90</v>
      </c>
      <c r="N35" t="s">
        <v>99</v>
      </c>
    </row>
    <row r="36" spans="1:14" x14ac:dyDescent="0.35">
      <c r="A36" s="40"/>
      <c r="B36" s="40"/>
      <c r="C36" s="13"/>
      <c r="D36" t="s">
        <v>44</v>
      </c>
      <c r="F36">
        <v>187.57</v>
      </c>
      <c r="G36">
        <v>0</v>
      </c>
      <c r="H36">
        <v>39.39</v>
      </c>
      <c r="I36">
        <v>226.96</v>
      </c>
      <c r="J36">
        <v>226.96</v>
      </c>
      <c r="K36">
        <v>0</v>
      </c>
      <c r="L36" t="s">
        <v>17</v>
      </c>
      <c r="M36" t="s">
        <v>90</v>
      </c>
      <c r="N36" t="s">
        <v>99</v>
      </c>
    </row>
    <row r="37" spans="1:14" x14ac:dyDescent="0.35">
      <c r="A37" s="40"/>
      <c r="B37" s="40"/>
      <c r="C37" s="13"/>
      <c r="D37" t="s">
        <v>44</v>
      </c>
      <c r="F37">
        <v>340</v>
      </c>
      <c r="G37">
        <v>0</v>
      </c>
      <c r="H37">
        <v>71.400000000000006</v>
      </c>
      <c r="I37">
        <v>411.4</v>
      </c>
      <c r="J37">
        <v>411.4</v>
      </c>
      <c r="K37">
        <v>0</v>
      </c>
      <c r="L37" t="s">
        <v>17</v>
      </c>
      <c r="M37" t="s">
        <v>90</v>
      </c>
      <c r="N37" t="s">
        <v>89</v>
      </c>
    </row>
    <row r="38" spans="1:14" x14ac:dyDescent="0.35">
      <c r="A38" s="40"/>
      <c r="B38" s="13"/>
      <c r="C38" s="13"/>
      <c r="D38" t="s">
        <v>44</v>
      </c>
      <c r="F38">
        <v>30</v>
      </c>
      <c r="G38">
        <v>0</v>
      </c>
      <c r="H38">
        <v>6.3</v>
      </c>
      <c r="I38">
        <v>36.299999999999997</v>
      </c>
      <c r="J38">
        <v>36.299999999999997</v>
      </c>
      <c r="K38">
        <v>0</v>
      </c>
      <c r="L38" t="s">
        <v>17</v>
      </c>
      <c r="M38" t="s">
        <v>100</v>
      </c>
      <c r="N38" t="s">
        <v>101</v>
      </c>
    </row>
    <row r="39" spans="1:14" x14ac:dyDescent="0.35">
      <c r="A39" s="40"/>
      <c r="B39" s="40"/>
      <c r="C39" s="13"/>
      <c r="D39" t="s">
        <v>42</v>
      </c>
      <c r="F39">
        <v>22.19</v>
      </c>
      <c r="G39">
        <v>0</v>
      </c>
      <c r="H39">
        <v>4.66</v>
      </c>
      <c r="I39">
        <v>26.85</v>
      </c>
      <c r="J39">
        <v>26.85</v>
      </c>
      <c r="K39">
        <v>0</v>
      </c>
      <c r="L39" t="s">
        <v>17</v>
      </c>
      <c r="M39" t="s">
        <v>87</v>
      </c>
      <c r="N39" t="s">
        <v>95</v>
      </c>
    </row>
    <row r="40" spans="1:14" x14ac:dyDescent="0.35">
      <c r="A40" s="40"/>
      <c r="B40" s="40"/>
      <c r="C40" s="13"/>
      <c r="D40" t="s">
        <v>43</v>
      </c>
      <c r="F40">
        <v>56.85</v>
      </c>
      <c r="G40">
        <v>0</v>
      </c>
      <c r="H40">
        <v>11.94</v>
      </c>
      <c r="I40">
        <v>68.790000000000006</v>
      </c>
      <c r="J40">
        <v>68.790000000000006</v>
      </c>
      <c r="K40">
        <v>0</v>
      </c>
      <c r="L40" t="s">
        <v>17</v>
      </c>
      <c r="M40" t="s">
        <v>87</v>
      </c>
      <c r="N40" t="s">
        <v>95</v>
      </c>
    </row>
    <row r="41" spans="1:14" x14ac:dyDescent="0.35">
      <c r="A41" s="40"/>
      <c r="B41" s="40"/>
      <c r="C41" s="13"/>
      <c r="D41" t="s">
        <v>43</v>
      </c>
      <c r="F41">
        <v>17.72</v>
      </c>
      <c r="G41">
        <v>0</v>
      </c>
      <c r="H41">
        <v>3.72</v>
      </c>
      <c r="I41">
        <v>21.44</v>
      </c>
      <c r="J41">
        <v>21.44</v>
      </c>
      <c r="K41">
        <v>0</v>
      </c>
      <c r="L41" t="s">
        <v>17</v>
      </c>
      <c r="M41" t="s">
        <v>87</v>
      </c>
      <c r="N41" t="s">
        <v>95</v>
      </c>
    </row>
    <row r="42" spans="1:14" x14ac:dyDescent="0.35">
      <c r="A42" s="40"/>
      <c r="B42" s="40"/>
      <c r="C42" s="13"/>
      <c r="D42" t="s">
        <v>44</v>
      </c>
      <c r="F42">
        <v>87.52</v>
      </c>
      <c r="G42">
        <v>0</v>
      </c>
      <c r="H42">
        <v>18.38</v>
      </c>
      <c r="I42">
        <v>105.9</v>
      </c>
      <c r="J42">
        <v>105.9</v>
      </c>
      <c r="K42">
        <v>0</v>
      </c>
      <c r="L42" t="s">
        <v>17</v>
      </c>
      <c r="M42" t="s">
        <v>87</v>
      </c>
      <c r="N42" t="s">
        <v>95</v>
      </c>
    </row>
    <row r="43" spans="1:14" x14ac:dyDescent="0.35">
      <c r="A43" s="40"/>
      <c r="B43" s="40"/>
      <c r="C43" s="13"/>
      <c r="D43" t="s">
        <v>44</v>
      </c>
      <c r="F43">
        <v>24.95</v>
      </c>
      <c r="G43">
        <v>0</v>
      </c>
      <c r="H43">
        <v>5.24</v>
      </c>
      <c r="I43">
        <v>30.19</v>
      </c>
      <c r="J43">
        <v>30.19</v>
      </c>
      <c r="K43">
        <v>0</v>
      </c>
      <c r="L43" t="s">
        <v>17</v>
      </c>
      <c r="M43" t="s">
        <v>87</v>
      </c>
      <c r="N43" t="s">
        <v>95</v>
      </c>
    </row>
    <row r="44" spans="1:14" x14ac:dyDescent="0.35">
      <c r="A44" s="40"/>
      <c r="B44" s="40"/>
      <c r="C44" s="13"/>
      <c r="D44" t="s">
        <v>44</v>
      </c>
      <c r="F44">
        <v>17.670000000000002</v>
      </c>
      <c r="G44">
        <v>0</v>
      </c>
      <c r="H44">
        <v>3.71</v>
      </c>
      <c r="I44">
        <v>21.38</v>
      </c>
      <c r="J44">
        <v>0</v>
      </c>
      <c r="K44">
        <v>21.38</v>
      </c>
      <c r="L44" t="s">
        <v>18</v>
      </c>
      <c r="M44" t="s">
        <v>87</v>
      </c>
      <c r="N44" t="s">
        <v>95</v>
      </c>
    </row>
    <row r="45" spans="1:14" x14ac:dyDescent="0.35">
      <c r="A45" s="40"/>
      <c r="B45" s="13"/>
      <c r="C45" s="13"/>
      <c r="D45" t="s">
        <v>43</v>
      </c>
      <c r="F45">
        <v>2.89</v>
      </c>
      <c r="G45">
        <v>0</v>
      </c>
      <c r="H45">
        <v>0.61</v>
      </c>
      <c r="I45">
        <v>3.5</v>
      </c>
      <c r="J45">
        <v>3.5</v>
      </c>
      <c r="K45">
        <v>0</v>
      </c>
      <c r="L45" t="s">
        <v>17</v>
      </c>
      <c r="M45" t="s">
        <v>87</v>
      </c>
      <c r="N45" t="s">
        <v>93</v>
      </c>
    </row>
    <row r="46" spans="1:14" x14ac:dyDescent="0.35">
      <c r="A46" s="40"/>
      <c r="B46" s="13"/>
      <c r="C46" s="13"/>
      <c r="D46" t="s">
        <v>44</v>
      </c>
      <c r="F46">
        <v>800</v>
      </c>
      <c r="G46">
        <v>0</v>
      </c>
      <c r="H46">
        <v>168</v>
      </c>
      <c r="I46">
        <v>968</v>
      </c>
      <c r="J46">
        <v>968</v>
      </c>
      <c r="K46">
        <v>0</v>
      </c>
      <c r="L46" t="s">
        <v>17</v>
      </c>
      <c r="M46" t="s">
        <v>87</v>
      </c>
      <c r="N46" t="s">
        <v>93</v>
      </c>
    </row>
    <row r="47" spans="1:14" x14ac:dyDescent="0.35">
      <c r="A47" s="40"/>
      <c r="B47" s="40"/>
      <c r="C47" s="13"/>
      <c r="D47" t="s">
        <v>42</v>
      </c>
      <c r="F47">
        <v>371.5</v>
      </c>
      <c r="G47">
        <v>0</v>
      </c>
      <c r="H47">
        <v>78.02</v>
      </c>
      <c r="I47">
        <v>449.52</v>
      </c>
      <c r="J47">
        <v>449.52</v>
      </c>
      <c r="K47">
        <v>0</v>
      </c>
      <c r="L47" t="s">
        <v>17</v>
      </c>
      <c r="M47" t="s">
        <v>89</v>
      </c>
      <c r="N47" t="s">
        <v>89</v>
      </c>
    </row>
    <row r="48" spans="1:14" x14ac:dyDescent="0.35">
      <c r="A48" s="40"/>
      <c r="B48" s="13"/>
      <c r="C48" s="13"/>
      <c r="D48" t="s">
        <v>42</v>
      </c>
      <c r="F48">
        <v>36.1</v>
      </c>
      <c r="G48">
        <v>0</v>
      </c>
      <c r="H48">
        <v>7.58</v>
      </c>
      <c r="I48">
        <v>43.68</v>
      </c>
      <c r="J48">
        <v>43.68</v>
      </c>
      <c r="K48">
        <v>0</v>
      </c>
      <c r="L48" t="s">
        <v>17</v>
      </c>
      <c r="M48" t="s">
        <v>87</v>
      </c>
      <c r="N48" t="s">
        <v>102</v>
      </c>
    </row>
    <row r="49" spans="1:14" x14ac:dyDescent="0.35">
      <c r="A49" s="40"/>
      <c r="B49" s="13"/>
      <c r="C49" s="13"/>
      <c r="D49" t="s">
        <v>42</v>
      </c>
      <c r="F49">
        <v>0.27</v>
      </c>
      <c r="G49">
        <v>0</v>
      </c>
      <c r="H49">
        <v>0.06</v>
      </c>
      <c r="I49">
        <v>0.33</v>
      </c>
      <c r="J49">
        <v>0</v>
      </c>
      <c r="K49">
        <v>0.33</v>
      </c>
      <c r="L49" t="s">
        <v>18</v>
      </c>
      <c r="M49" t="s">
        <v>87</v>
      </c>
      <c r="N49" t="s">
        <v>102</v>
      </c>
    </row>
    <row r="50" spans="1:14" x14ac:dyDescent="0.35">
      <c r="A50" s="40"/>
      <c r="B50" s="13"/>
      <c r="C50" s="13"/>
      <c r="D50" t="s">
        <v>43</v>
      </c>
      <c r="F50">
        <v>10.55</v>
      </c>
      <c r="G50">
        <v>0</v>
      </c>
      <c r="H50">
        <v>2.2200000000000002</v>
      </c>
      <c r="I50">
        <v>12.77</v>
      </c>
      <c r="J50">
        <v>0</v>
      </c>
      <c r="K50">
        <v>12.77</v>
      </c>
      <c r="L50" t="s">
        <v>18</v>
      </c>
      <c r="M50" t="s">
        <v>87</v>
      </c>
      <c r="N50" t="s">
        <v>102</v>
      </c>
    </row>
    <row r="51" spans="1:14" x14ac:dyDescent="0.35">
      <c r="A51" s="40"/>
      <c r="B51" s="13"/>
      <c r="C51" s="13"/>
      <c r="D51" t="s">
        <v>43</v>
      </c>
      <c r="F51">
        <v>259.2</v>
      </c>
      <c r="G51">
        <v>0</v>
      </c>
      <c r="H51">
        <v>54.43</v>
      </c>
      <c r="I51">
        <v>313.63</v>
      </c>
      <c r="J51">
        <v>0</v>
      </c>
      <c r="K51">
        <v>313.63</v>
      </c>
      <c r="L51" t="s">
        <v>18</v>
      </c>
      <c r="M51" t="s">
        <v>89</v>
      </c>
      <c r="N51" t="s">
        <v>89</v>
      </c>
    </row>
    <row r="52" spans="1:14" x14ac:dyDescent="0.35">
      <c r="A52" s="40"/>
      <c r="B52" s="13"/>
      <c r="C52" s="13"/>
      <c r="D52" t="s">
        <v>43</v>
      </c>
      <c r="F52" s="1">
        <v>1160</v>
      </c>
      <c r="G52">
        <v>0</v>
      </c>
      <c r="H52">
        <v>243.6</v>
      </c>
      <c r="I52" s="1">
        <v>1403.6</v>
      </c>
      <c r="J52">
        <v>0</v>
      </c>
      <c r="K52" s="1">
        <v>1403.6</v>
      </c>
      <c r="L52" t="s">
        <v>18</v>
      </c>
      <c r="M52" t="s">
        <v>89</v>
      </c>
      <c r="N52" t="s">
        <v>89</v>
      </c>
    </row>
    <row r="53" spans="1:14" x14ac:dyDescent="0.35">
      <c r="A53" s="40"/>
      <c r="B53" s="13"/>
      <c r="C53" s="13"/>
      <c r="D53" t="s">
        <v>44</v>
      </c>
      <c r="F53">
        <v>208</v>
      </c>
      <c r="G53">
        <v>0</v>
      </c>
      <c r="H53">
        <v>43.68</v>
      </c>
      <c r="I53">
        <v>251.68</v>
      </c>
      <c r="J53">
        <v>251.68</v>
      </c>
      <c r="K53">
        <v>0</v>
      </c>
      <c r="L53" t="s">
        <v>17</v>
      </c>
      <c r="M53" t="s">
        <v>89</v>
      </c>
      <c r="N53" t="s">
        <v>89</v>
      </c>
    </row>
    <row r="54" spans="1:14" x14ac:dyDescent="0.35">
      <c r="A54" s="40"/>
      <c r="B54" s="13"/>
      <c r="C54" s="13"/>
      <c r="D54" t="s">
        <v>44</v>
      </c>
      <c r="F54">
        <v>413.33</v>
      </c>
      <c r="G54">
        <v>0</v>
      </c>
      <c r="H54">
        <v>86.8</v>
      </c>
      <c r="I54">
        <v>500.13</v>
      </c>
      <c r="J54">
        <v>0</v>
      </c>
      <c r="K54">
        <v>500.13</v>
      </c>
      <c r="L54" t="s">
        <v>18</v>
      </c>
      <c r="M54" t="s">
        <v>89</v>
      </c>
      <c r="N54" t="s">
        <v>89</v>
      </c>
    </row>
    <row r="55" spans="1:14" x14ac:dyDescent="0.35">
      <c r="A55" s="40"/>
      <c r="B55" s="13"/>
      <c r="C55" s="13"/>
      <c r="D55" t="s">
        <v>44</v>
      </c>
      <c r="F55">
        <v>280</v>
      </c>
      <c r="G55">
        <v>0</v>
      </c>
      <c r="H55">
        <v>58.8</v>
      </c>
      <c r="I55">
        <v>338.8</v>
      </c>
      <c r="J55">
        <v>0</v>
      </c>
      <c r="K55">
        <v>338.8</v>
      </c>
      <c r="L55" t="s">
        <v>18</v>
      </c>
      <c r="M55" t="s">
        <v>89</v>
      </c>
      <c r="N55" t="s">
        <v>89</v>
      </c>
    </row>
    <row r="56" spans="1:14" x14ac:dyDescent="0.35">
      <c r="A56" s="40"/>
      <c r="B56" s="13"/>
      <c r="C56" s="13"/>
      <c r="D56" t="s">
        <v>42</v>
      </c>
      <c r="F56">
        <v>442.44</v>
      </c>
      <c r="G56">
        <v>0</v>
      </c>
      <c r="H56">
        <v>92.91</v>
      </c>
      <c r="I56">
        <v>535.35</v>
      </c>
      <c r="J56">
        <v>535.35</v>
      </c>
      <c r="K56">
        <v>0</v>
      </c>
      <c r="L56" t="s">
        <v>17</v>
      </c>
      <c r="M56" t="s">
        <v>87</v>
      </c>
      <c r="N56" t="s">
        <v>88</v>
      </c>
    </row>
    <row r="57" spans="1:14" x14ac:dyDescent="0.35">
      <c r="A57" s="40"/>
      <c r="B57" s="13"/>
      <c r="C57" s="13"/>
      <c r="D57" t="s">
        <v>43</v>
      </c>
      <c r="F57">
        <v>431.11</v>
      </c>
      <c r="G57">
        <v>0</v>
      </c>
      <c r="H57">
        <v>90.53</v>
      </c>
      <c r="I57">
        <v>521.64</v>
      </c>
      <c r="J57">
        <v>521.64</v>
      </c>
      <c r="K57">
        <v>0</v>
      </c>
      <c r="L57" t="s">
        <v>17</v>
      </c>
      <c r="M57" t="s">
        <v>87</v>
      </c>
      <c r="N57" t="s">
        <v>88</v>
      </c>
    </row>
    <row r="58" spans="1:14" x14ac:dyDescent="0.35">
      <c r="A58" s="40"/>
      <c r="B58" s="13"/>
      <c r="C58" s="13"/>
      <c r="D58" t="s">
        <v>44</v>
      </c>
      <c r="F58">
        <v>303.88</v>
      </c>
      <c r="G58">
        <v>0</v>
      </c>
      <c r="H58">
        <v>63.81</v>
      </c>
      <c r="I58">
        <v>367.69</v>
      </c>
      <c r="J58">
        <v>367.69</v>
      </c>
      <c r="K58">
        <v>0</v>
      </c>
      <c r="L58" t="s">
        <v>17</v>
      </c>
      <c r="M58" t="s">
        <v>87</v>
      </c>
      <c r="N58" t="s">
        <v>88</v>
      </c>
    </row>
    <row r="59" spans="1:14" x14ac:dyDescent="0.35">
      <c r="A59" s="40"/>
      <c r="B59" s="13"/>
      <c r="C59" s="13"/>
      <c r="D59" t="s">
        <v>44</v>
      </c>
      <c r="F59">
        <v>14.04</v>
      </c>
      <c r="G59">
        <v>0</v>
      </c>
      <c r="H59">
        <v>2.95</v>
      </c>
      <c r="I59">
        <v>16.989999999999998</v>
      </c>
      <c r="J59">
        <v>16.989999999999998</v>
      </c>
      <c r="K59">
        <v>0</v>
      </c>
      <c r="L59" t="s">
        <v>17</v>
      </c>
      <c r="M59" t="s">
        <v>89</v>
      </c>
      <c r="N59" t="s">
        <v>89</v>
      </c>
    </row>
    <row r="60" spans="1:14" x14ac:dyDescent="0.35">
      <c r="A60" s="40"/>
      <c r="B60" s="40"/>
      <c r="C60" s="13"/>
      <c r="D60" t="s">
        <v>42</v>
      </c>
      <c r="F60">
        <v>22.72</v>
      </c>
      <c r="G60">
        <v>0</v>
      </c>
      <c r="H60">
        <v>4.7699999999999996</v>
      </c>
      <c r="I60">
        <v>27.49</v>
      </c>
      <c r="J60">
        <v>27.49</v>
      </c>
      <c r="K60">
        <v>0</v>
      </c>
      <c r="L60" t="s">
        <v>17</v>
      </c>
      <c r="M60" t="s">
        <v>87</v>
      </c>
      <c r="N60" t="s">
        <v>93</v>
      </c>
    </row>
    <row r="61" spans="1:14" x14ac:dyDescent="0.35">
      <c r="A61" s="40"/>
      <c r="B61" s="13"/>
      <c r="C61" s="13"/>
      <c r="D61" t="s">
        <v>42</v>
      </c>
      <c r="F61">
        <v>129.80000000000001</v>
      </c>
      <c r="G61">
        <v>0</v>
      </c>
      <c r="H61">
        <v>27.26</v>
      </c>
      <c r="I61">
        <v>157.06</v>
      </c>
      <c r="J61">
        <v>157.06</v>
      </c>
      <c r="K61">
        <v>0</v>
      </c>
      <c r="L61" t="s">
        <v>17</v>
      </c>
      <c r="M61" t="s">
        <v>90</v>
      </c>
      <c r="N61" t="s">
        <v>98</v>
      </c>
    </row>
    <row r="62" spans="1:14" x14ac:dyDescent="0.35">
      <c r="A62" s="40"/>
      <c r="B62" s="13"/>
      <c r="C62" s="13"/>
      <c r="D62" t="s">
        <v>43</v>
      </c>
      <c r="F62" s="1">
        <v>3405.16</v>
      </c>
      <c r="G62">
        <v>238.36</v>
      </c>
      <c r="H62">
        <v>715.08</v>
      </c>
      <c r="I62" s="1">
        <v>3881.88</v>
      </c>
      <c r="J62" s="1">
        <v>3881.88</v>
      </c>
      <c r="K62">
        <v>0</v>
      </c>
      <c r="L62" t="s">
        <v>17</v>
      </c>
      <c r="M62" t="s">
        <v>90</v>
      </c>
      <c r="N62" t="s">
        <v>92</v>
      </c>
    </row>
    <row r="63" spans="1:14" x14ac:dyDescent="0.35">
      <c r="A63" s="40"/>
      <c r="B63" s="13"/>
      <c r="C63" s="13"/>
      <c r="D63" t="s">
        <v>42</v>
      </c>
      <c r="F63">
        <v>100</v>
      </c>
      <c r="G63">
        <v>0</v>
      </c>
      <c r="H63">
        <v>21</v>
      </c>
      <c r="I63">
        <v>121</v>
      </c>
      <c r="J63">
        <v>121</v>
      </c>
      <c r="K63">
        <v>0</v>
      </c>
      <c r="L63" t="s">
        <v>17</v>
      </c>
      <c r="M63" t="s">
        <v>97</v>
      </c>
      <c r="N63" t="s">
        <v>97</v>
      </c>
    </row>
    <row r="64" spans="1:14" x14ac:dyDescent="0.35">
      <c r="A64" s="40"/>
      <c r="B64" s="13"/>
      <c r="C64" s="13"/>
      <c r="D64" t="s">
        <v>43</v>
      </c>
      <c r="F64">
        <v>100</v>
      </c>
      <c r="G64">
        <v>0</v>
      </c>
      <c r="H64">
        <v>21</v>
      </c>
      <c r="I64">
        <v>121</v>
      </c>
      <c r="J64">
        <v>121</v>
      </c>
      <c r="K64">
        <v>0</v>
      </c>
      <c r="L64" t="s">
        <v>17</v>
      </c>
      <c r="M64" t="s">
        <v>97</v>
      </c>
      <c r="N64" t="s">
        <v>97</v>
      </c>
    </row>
    <row r="65" spans="1:14" x14ac:dyDescent="0.35">
      <c r="A65" s="40"/>
      <c r="B65" s="13"/>
      <c r="C65" s="13"/>
      <c r="D65" t="s">
        <v>44</v>
      </c>
      <c r="F65">
        <v>100</v>
      </c>
      <c r="G65">
        <v>0</v>
      </c>
      <c r="H65">
        <v>21</v>
      </c>
      <c r="I65">
        <v>121</v>
      </c>
      <c r="J65">
        <v>121</v>
      </c>
      <c r="K65">
        <v>0</v>
      </c>
      <c r="L65" t="s">
        <v>17</v>
      </c>
      <c r="M65" t="s">
        <v>97</v>
      </c>
      <c r="N65" t="s">
        <v>97</v>
      </c>
    </row>
    <row r="66" spans="1:14" x14ac:dyDescent="0.35">
      <c r="A66" s="40"/>
      <c r="B66" s="40"/>
      <c r="C66" s="13"/>
      <c r="D66" t="s">
        <v>44</v>
      </c>
      <c r="F66">
        <v>45.7</v>
      </c>
      <c r="G66">
        <v>6.86</v>
      </c>
      <c r="H66">
        <v>9.6</v>
      </c>
      <c r="I66">
        <v>48.44</v>
      </c>
      <c r="J66">
        <v>48.44</v>
      </c>
      <c r="K66">
        <v>0</v>
      </c>
      <c r="L66" t="s">
        <v>17</v>
      </c>
      <c r="M66" t="s">
        <v>91</v>
      </c>
      <c r="N66" t="s">
        <v>91</v>
      </c>
    </row>
    <row r="67" spans="1:14" x14ac:dyDescent="0.35">
      <c r="A67" s="40"/>
      <c r="B67" s="40"/>
      <c r="C67" s="13"/>
      <c r="D67" t="s">
        <v>44</v>
      </c>
      <c r="F67">
        <v>35.56</v>
      </c>
      <c r="G67">
        <v>5.33</v>
      </c>
      <c r="H67">
        <v>7.47</v>
      </c>
      <c r="I67">
        <v>37.700000000000003</v>
      </c>
      <c r="J67">
        <v>37.700000000000003</v>
      </c>
      <c r="K67">
        <v>0</v>
      </c>
      <c r="L67" t="s">
        <v>17</v>
      </c>
      <c r="M67" t="s">
        <v>91</v>
      </c>
      <c r="N67" t="s">
        <v>91</v>
      </c>
    </row>
    <row r="68" spans="1:14" x14ac:dyDescent="0.35">
      <c r="A68" s="40"/>
      <c r="B68" s="13"/>
      <c r="C68" s="13"/>
      <c r="D68" t="s">
        <v>42</v>
      </c>
      <c r="F68">
        <v>230.4</v>
      </c>
      <c r="G68">
        <v>0</v>
      </c>
      <c r="H68">
        <v>48.38</v>
      </c>
      <c r="I68">
        <v>278.77999999999997</v>
      </c>
      <c r="J68">
        <v>0</v>
      </c>
      <c r="K68">
        <v>278.77999999999997</v>
      </c>
      <c r="L68" t="s">
        <v>18</v>
      </c>
      <c r="M68" t="s">
        <v>89</v>
      </c>
      <c r="N68" t="s">
        <v>89</v>
      </c>
    </row>
    <row r="69" spans="1:14" x14ac:dyDescent="0.35">
      <c r="A69" s="40"/>
      <c r="B69" s="13"/>
      <c r="C69" s="13"/>
      <c r="D69" t="s">
        <v>42</v>
      </c>
      <c r="F69">
        <v>57.85</v>
      </c>
      <c r="G69">
        <v>0</v>
      </c>
      <c r="H69">
        <v>5.22</v>
      </c>
      <c r="I69">
        <v>63.07</v>
      </c>
      <c r="J69">
        <v>63.07</v>
      </c>
      <c r="K69">
        <v>0</v>
      </c>
      <c r="L69" t="s">
        <v>17</v>
      </c>
      <c r="M69" t="s">
        <v>90</v>
      </c>
      <c r="N69" t="s">
        <v>98</v>
      </c>
    </row>
    <row r="70" spans="1:14" x14ac:dyDescent="0.35">
      <c r="A70" s="40"/>
      <c r="B70" s="13"/>
      <c r="C70" s="13"/>
      <c r="D70" t="s">
        <v>43</v>
      </c>
      <c r="F70">
        <v>75.069999999999993</v>
      </c>
      <c r="G70">
        <v>0</v>
      </c>
      <c r="H70">
        <v>6.74</v>
      </c>
      <c r="I70">
        <v>81.81</v>
      </c>
      <c r="J70">
        <v>81.81</v>
      </c>
      <c r="K70">
        <v>0</v>
      </c>
      <c r="L70" t="s">
        <v>17</v>
      </c>
      <c r="M70" t="s">
        <v>90</v>
      </c>
      <c r="N70" t="s">
        <v>98</v>
      </c>
    </row>
    <row r="71" spans="1:14" x14ac:dyDescent="0.35">
      <c r="A71" s="40"/>
      <c r="B71" s="13"/>
      <c r="C71" s="13"/>
      <c r="D71" t="s">
        <v>44</v>
      </c>
      <c r="F71">
        <v>58.03</v>
      </c>
      <c r="G71">
        <v>0</v>
      </c>
      <c r="H71">
        <v>5.43</v>
      </c>
      <c r="I71">
        <v>63.46</v>
      </c>
      <c r="J71">
        <v>63.46</v>
      </c>
      <c r="K71">
        <v>0</v>
      </c>
      <c r="L71" t="s">
        <v>17</v>
      </c>
      <c r="M71" t="s">
        <v>90</v>
      </c>
      <c r="N71" t="s">
        <v>98</v>
      </c>
    </row>
    <row r="72" spans="1:14" x14ac:dyDescent="0.35">
      <c r="A72" s="40"/>
      <c r="B72" s="13"/>
      <c r="C72" s="13"/>
      <c r="D72" t="s">
        <v>43</v>
      </c>
      <c r="F72">
        <v>35.04</v>
      </c>
      <c r="G72">
        <v>0</v>
      </c>
      <c r="H72">
        <v>7.36</v>
      </c>
      <c r="I72">
        <v>42.4</v>
      </c>
      <c r="J72">
        <v>42.4</v>
      </c>
      <c r="K72">
        <v>0</v>
      </c>
      <c r="L72" t="s">
        <v>17</v>
      </c>
      <c r="M72" t="s">
        <v>87</v>
      </c>
      <c r="N72" t="s">
        <v>102</v>
      </c>
    </row>
    <row r="73" spans="1:14" x14ac:dyDescent="0.35">
      <c r="A73" s="40"/>
      <c r="B73" s="13"/>
      <c r="C73" s="13"/>
      <c r="D73" t="s">
        <v>44</v>
      </c>
      <c r="F73">
        <v>8.6199999999999992</v>
      </c>
      <c r="G73">
        <v>0</v>
      </c>
      <c r="H73">
        <v>1.81</v>
      </c>
      <c r="I73">
        <v>10.43</v>
      </c>
      <c r="J73">
        <v>0</v>
      </c>
      <c r="K73">
        <v>10.43</v>
      </c>
      <c r="L73" t="s">
        <v>18</v>
      </c>
      <c r="M73" t="s">
        <v>89</v>
      </c>
      <c r="N73" t="s">
        <v>89</v>
      </c>
    </row>
    <row r="74" spans="1:14" x14ac:dyDescent="0.35">
      <c r="A74" s="40"/>
      <c r="B74" s="13"/>
      <c r="C74" s="13"/>
      <c r="D74" t="s">
        <v>42</v>
      </c>
      <c r="F74">
        <v>7.71</v>
      </c>
      <c r="G74">
        <v>0</v>
      </c>
      <c r="H74">
        <v>1.62</v>
      </c>
      <c r="I74">
        <v>9.33</v>
      </c>
      <c r="J74">
        <v>0</v>
      </c>
      <c r="K74">
        <v>9.33</v>
      </c>
      <c r="L74" t="s">
        <v>18</v>
      </c>
      <c r="M74" t="s">
        <v>87</v>
      </c>
      <c r="N74" t="s">
        <v>94</v>
      </c>
    </row>
    <row r="75" spans="1:14" x14ac:dyDescent="0.35">
      <c r="A75" s="40"/>
      <c r="B75" s="13"/>
      <c r="C75" s="13"/>
      <c r="D75" t="s">
        <v>42</v>
      </c>
      <c r="F75">
        <v>25.58</v>
      </c>
      <c r="G75">
        <v>0</v>
      </c>
      <c r="H75">
        <v>1.02</v>
      </c>
      <c r="I75">
        <v>26.6</v>
      </c>
      <c r="J75">
        <v>26.6</v>
      </c>
      <c r="K75">
        <v>0</v>
      </c>
      <c r="L75" t="s">
        <v>17</v>
      </c>
      <c r="M75" t="s">
        <v>87</v>
      </c>
      <c r="N75" t="s">
        <v>93</v>
      </c>
    </row>
    <row r="76" spans="1:14" x14ac:dyDescent="0.35">
      <c r="A76" s="40"/>
      <c r="B76" s="13"/>
      <c r="C76" s="13"/>
      <c r="D76" t="s">
        <v>42</v>
      </c>
      <c r="F76">
        <v>127.38</v>
      </c>
      <c r="G76">
        <v>0</v>
      </c>
      <c r="H76">
        <v>5.0999999999999996</v>
      </c>
      <c r="I76">
        <v>132.47999999999999</v>
      </c>
      <c r="J76">
        <v>132.47999999999999</v>
      </c>
      <c r="K76">
        <v>0</v>
      </c>
      <c r="L76" t="s">
        <v>17</v>
      </c>
      <c r="M76" t="s">
        <v>87</v>
      </c>
      <c r="N76" t="s">
        <v>93</v>
      </c>
    </row>
    <row r="77" spans="1:14" x14ac:dyDescent="0.35">
      <c r="A77" s="40"/>
      <c r="B77" s="13"/>
      <c r="C77" s="13"/>
      <c r="D77" t="s">
        <v>42</v>
      </c>
      <c r="F77">
        <v>290.39</v>
      </c>
      <c r="G77">
        <v>0</v>
      </c>
      <c r="H77">
        <v>11.62</v>
      </c>
      <c r="I77">
        <v>302.01</v>
      </c>
      <c r="J77">
        <v>0</v>
      </c>
      <c r="K77">
        <v>302.01</v>
      </c>
      <c r="L77" t="s">
        <v>18</v>
      </c>
      <c r="M77" t="s">
        <v>87</v>
      </c>
      <c r="N77" t="s">
        <v>93</v>
      </c>
    </row>
    <row r="78" spans="1:14" x14ac:dyDescent="0.35">
      <c r="A78" s="40"/>
      <c r="B78" s="13"/>
      <c r="C78" s="13"/>
      <c r="D78" t="s">
        <v>42</v>
      </c>
      <c r="F78">
        <v>52.89</v>
      </c>
      <c r="G78">
        <v>0</v>
      </c>
      <c r="H78">
        <v>11.11</v>
      </c>
      <c r="I78">
        <v>64</v>
      </c>
      <c r="J78">
        <v>64</v>
      </c>
      <c r="K78">
        <v>0</v>
      </c>
      <c r="L78" t="s">
        <v>17</v>
      </c>
      <c r="M78" t="s">
        <v>87</v>
      </c>
      <c r="N78" t="s">
        <v>88</v>
      </c>
    </row>
    <row r="79" spans="1:14" x14ac:dyDescent="0.35">
      <c r="A79" s="40"/>
      <c r="B79" s="13"/>
      <c r="C79" s="13"/>
      <c r="D79" t="s">
        <v>43</v>
      </c>
      <c r="F79">
        <v>67.260000000000005</v>
      </c>
      <c r="G79">
        <v>0</v>
      </c>
      <c r="H79">
        <v>14.12</v>
      </c>
      <c r="I79">
        <v>81.38</v>
      </c>
      <c r="J79">
        <v>81.38</v>
      </c>
      <c r="K79">
        <v>0</v>
      </c>
      <c r="L79" t="s">
        <v>17</v>
      </c>
      <c r="M79" t="s">
        <v>87</v>
      </c>
      <c r="N79" t="s">
        <v>88</v>
      </c>
    </row>
    <row r="80" spans="1:14" x14ac:dyDescent="0.35">
      <c r="A80" s="40"/>
      <c r="B80" s="13"/>
      <c r="C80" s="13"/>
      <c r="D80" t="s">
        <v>42</v>
      </c>
      <c r="F80">
        <v>280</v>
      </c>
      <c r="G80">
        <v>0</v>
      </c>
      <c r="H80">
        <v>58.8</v>
      </c>
      <c r="I80">
        <v>338.8</v>
      </c>
      <c r="J80">
        <v>338.8</v>
      </c>
      <c r="K80">
        <v>0</v>
      </c>
      <c r="L80" t="s">
        <v>17</v>
      </c>
      <c r="M80" t="s">
        <v>100</v>
      </c>
      <c r="N80" t="s">
        <v>100</v>
      </c>
    </row>
    <row r="81" spans="1:14" x14ac:dyDescent="0.35">
      <c r="A81" s="40"/>
      <c r="B81" s="13"/>
      <c r="C81" s="13"/>
      <c r="D81" t="s">
        <v>44</v>
      </c>
      <c r="F81">
        <v>280</v>
      </c>
      <c r="G81">
        <v>0</v>
      </c>
      <c r="H81">
        <v>58.8</v>
      </c>
      <c r="I81">
        <v>338.8</v>
      </c>
      <c r="J81">
        <v>338.8</v>
      </c>
      <c r="K81">
        <v>0</v>
      </c>
      <c r="L81" t="s">
        <v>17</v>
      </c>
      <c r="M81" t="s">
        <v>100</v>
      </c>
      <c r="N81" t="s">
        <v>100</v>
      </c>
    </row>
    <row r="82" spans="1:14" x14ac:dyDescent="0.35">
      <c r="A82" s="40"/>
      <c r="B82" s="13"/>
      <c r="C82" s="13"/>
      <c r="D82" t="s">
        <v>42</v>
      </c>
      <c r="F82">
        <v>31.44</v>
      </c>
      <c r="G82">
        <v>0</v>
      </c>
      <c r="H82">
        <v>6.6</v>
      </c>
      <c r="I82">
        <v>38.04</v>
      </c>
      <c r="J82">
        <v>38.04</v>
      </c>
      <c r="K82">
        <v>0</v>
      </c>
      <c r="L82" t="s">
        <v>17</v>
      </c>
      <c r="M82" t="s">
        <v>90</v>
      </c>
      <c r="N82" t="s">
        <v>94</v>
      </c>
    </row>
    <row r="83" spans="1:14" x14ac:dyDescent="0.35">
      <c r="A83" s="40"/>
      <c r="B83" s="13"/>
      <c r="C83" s="13"/>
      <c r="D83" t="s">
        <v>43</v>
      </c>
      <c r="F83">
        <v>31.44</v>
      </c>
      <c r="G83">
        <v>0</v>
      </c>
      <c r="H83">
        <v>6.6</v>
      </c>
      <c r="I83">
        <v>38.04</v>
      </c>
      <c r="J83">
        <v>38.04</v>
      </c>
      <c r="K83">
        <v>0</v>
      </c>
      <c r="L83" t="s">
        <v>17</v>
      </c>
      <c r="M83" t="s">
        <v>90</v>
      </c>
      <c r="N83" t="s">
        <v>94</v>
      </c>
    </row>
    <row r="84" spans="1:14" x14ac:dyDescent="0.35">
      <c r="A84" s="40"/>
      <c r="B84" s="40"/>
      <c r="C84" s="13"/>
      <c r="D84" t="s">
        <v>43</v>
      </c>
      <c r="F84">
        <v>13.69</v>
      </c>
      <c r="G84">
        <v>0</v>
      </c>
      <c r="H84">
        <v>1.37</v>
      </c>
      <c r="I84">
        <v>15.06</v>
      </c>
      <c r="J84">
        <v>15.06</v>
      </c>
      <c r="K84">
        <v>0</v>
      </c>
      <c r="L84" t="s">
        <v>17</v>
      </c>
      <c r="M84" t="s">
        <v>87</v>
      </c>
      <c r="N84" t="s">
        <v>94</v>
      </c>
    </row>
    <row r="85" spans="1:14" x14ac:dyDescent="0.35">
      <c r="A85" s="40"/>
      <c r="B85" s="40"/>
      <c r="C85" s="13"/>
      <c r="D85" t="s">
        <v>42</v>
      </c>
      <c r="F85">
        <v>5.97</v>
      </c>
      <c r="G85">
        <v>0</v>
      </c>
      <c r="H85">
        <v>1.25</v>
      </c>
      <c r="I85">
        <v>7.22</v>
      </c>
      <c r="J85">
        <v>0</v>
      </c>
      <c r="K85">
        <v>7.22</v>
      </c>
      <c r="L85" t="s">
        <v>18</v>
      </c>
      <c r="M85" t="s">
        <v>89</v>
      </c>
      <c r="N85" t="s">
        <v>89</v>
      </c>
    </row>
    <row r="86" spans="1:14" x14ac:dyDescent="0.35">
      <c r="A86" s="40"/>
      <c r="B86" s="40"/>
      <c r="C86" s="13"/>
      <c r="D86" t="s">
        <v>42</v>
      </c>
      <c r="F86">
        <v>630.79999999999995</v>
      </c>
      <c r="G86">
        <v>0</v>
      </c>
      <c r="H86">
        <v>132.47</v>
      </c>
      <c r="I86">
        <v>763.27</v>
      </c>
      <c r="J86">
        <v>254.42</v>
      </c>
      <c r="K86">
        <v>508.85</v>
      </c>
      <c r="L86" t="s">
        <v>19</v>
      </c>
      <c r="M86" t="s">
        <v>89</v>
      </c>
      <c r="N86" t="s">
        <v>89</v>
      </c>
    </row>
    <row r="87" spans="1:14" x14ac:dyDescent="0.35">
      <c r="A87" s="40"/>
      <c r="B87" s="40"/>
      <c r="C87" s="13"/>
      <c r="D87" t="s">
        <v>43</v>
      </c>
      <c r="F87">
        <v>225.06</v>
      </c>
      <c r="G87">
        <v>0</v>
      </c>
      <c r="H87">
        <v>47.26</v>
      </c>
      <c r="I87">
        <v>272.32</v>
      </c>
      <c r="J87">
        <v>272.32</v>
      </c>
      <c r="K87">
        <v>0</v>
      </c>
      <c r="L87" t="s">
        <v>17</v>
      </c>
      <c r="M87" t="s">
        <v>89</v>
      </c>
      <c r="N87" t="s">
        <v>89</v>
      </c>
    </row>
    <row r="88" spans="1:14" x14ac:dyDescent="0.35">
      <c r="A88" s="40"/>
      <c r="B88" s="40"/>
      <c r="C88" s="13"/>
      <c r="D88" t="s">
        <v>44</v>
      </c>
      <c r="F88">
        <v>2.7</v>
      </c>
      <c r="G88">
        <v>0</v>
      </c>
      <c r="H88">
        <v>0.56999999999999995</v>
      </c>
      <c r="I88">
        <v>3.27</v>
      </c>
      <c r="J88">
        <v>0</v>
      </c>
      <c r="K88">
        <v>3.27</v>
      </c>
      <c r="L88" t="s">
        <v>18</v>
      </c>
      <c r="M88" t="s">
        <v>89</v>
      </c>
      <c r="N88" t="s">
        <v>89</v>
      </c>
    </row>
    <row r="89" spans="1:14" x14ac:dyDescent="0.35">
      <c r="A89" s="40"/>
      <c r="B89" s="40"/>
      <c r="C89" s="13"/>
      <c r="D89" t="s">
        <v>44</v>
      </c>
      <c r="F89">
        <v>133.08000000000001</v>
      </c>
      <c r="G89">
        <v>0</v>
      </c>
      <c r="H89">
        <v>27.95</v>
      </c>
      <c r="I89">
        <v>161.03</v>
      </c>
      <c r="J89">
        <v>0</v>
      </c>
      <c r="K89">
        <v>161.03</v>
      </c>
      <c r="L89" t="s">
        <v>18</v>
      </c>
      <c r="M89" t="s">
        <v>89</v>
      </c>
      <c r="N89" t="s">
        <v>89</v>
      </c>
    </row>
    <row r="90" spans="1:14" x14ac:dyDescent="0.35">
      <c r="A90" s="40"/>
      <c r="B90" s="40"/>
      <c r="C90" s="13"/>
      <c r="D90" t="s">
        <v>44</v>
      </c>
      <c r="F90">
        <v>59</v>
      </c>
      <c r="G90">
        <v>0</v>
      </c>
      <c r="H90">
        <v>12.39</v>
      </c>
      <c r="I90">
        <v>71.39</v>
      </c>
      <c r="J90">
        <v>71.39</v>
      </c>
      <c r="K90">
        <v>0</v>
      </c>
      <c r="L90" t="s">
        <v>17</v>
      </c>
      <c r="M90" t="s">
        <v>89</v>
      </c>
      <c r="N90" t="s">
        <v>89</v>
      </c>
    </row>
    <row r="91" spans="1:14" x14ac:dyDescent="0.35">
      <c r="A91" s="40"/>
      <c r="B91" s="13"/>
      <c r="C91" s="13"/>
      <c r="D91" t="s">
        <v>42</v>
      </c>
      <c r="F91">
        <v>944</v>
      </c>
      <c r="G91">
        <v>0</v>
      </c>
      <c r="H91">
        <v>198.24</v>
      </c>
      <c r="I91" s="1">
        <v>1142.24</v>
      </c>
      <c r="J91" s="1">
        <v>1142.24</v>
      </c>
      <c r="K91">
        <v>0</v>
      </c>
      <c r="L91" t="s">
        <v>17</v>
      </c>
      <c r="M91" t="s">
        <v>100</v>
      </c>
      <c r="N91" t="s">
        <v>101</v>
      </c>
    </row>
    <row r="92" spans="1:14" x14ac:dyDescent="0.35">
      <c r="A92" s="40"/>
      <c r="B92" s="13"/>
      <c r="C92" s="13"/>
      <c r="D92" t="s">
        <v>43</v>
      </c>
      <c r="F92">
        <v>646.38</v>
      </c>
      <c r="G92">
        <v>0</v>
      </c>
      <c r="H92">
        <v>135.74</v>
      </c>
      <c r="I92">
        <v>782.12</v>
      </c>
      <c r="J92">
        <v>782.12</v>
      </c>
      <c r="K92">
        <v>0</v>
      </c>
      <c r="L92" t="s">
        <v>17</v>
      </c>
      <c r="M92" t="s">
        <v>100</v>
      </c>
      <c r="N92" t="s">
        <v>101</v>
      </c>
    </row>
    <row r="93" spans="1:14" x14ac:dyDescent="0.35">
      <c r="A93" s="40"/>
      <c r="B93" s="13"/>
      <c r="C93" s="13"/>
      <c r="D93" t="s">
        <v>42</v>
      </c>
      <c r="F93">
        <v>6.61</v>
      </c>
      <c r="G93">
        <v>0</v>
      </c>
      <c r="H93">
        <v>1.39</v>
      </c>
      <c r="I93">
        <v>8</v>
      </c>
      <c r="J93">
        <v>8</v>
      </c>
      <c r="K93">
        <v>0</v>
      </c>
      <c r="L93" t="s">
        <v>17</v>
      </c>
      <c r="M93" t="s">
        <v>87</v>
      </c>
      <c r="N93" t="s">
        <v>103</v>
      </c>
    </row>
    <row r="94" spans="1:14" x14ac:dyDescent="0.35">
      <c r="A94" s="40"/>
      <c r="B94" s="13"/>
      <c r="C94" s="13"/>
      <c r="D94" t="s">
        <v>42</v>
      </c>
      <c r="F94">
        <v>15.57</v>
      </c>
      <c r="G94">
        <v>0</v>
      </c>
      <c r="H94">
        <v>3.27</v>
      </c>
      <c r="I94">
        <v>18.84</v>
      </c>
      <c r="J94">
        <v>18.84</v>
      </c>
      <c r="K94">
        <v>0</v>
      </c>
      <c r="L94" t="s">
        <v>17</v>
      </c>
      <c r="M94" t="s">
        <v>87</v>
      </c>
      <c r="N94" t="s">
        <v>103</v>
      </c>
    </row>
    <row r="95" spans="1:14" x14ac:dyDescent="0.35">
      <c r="A95" s="40"/>
      <c r="B95" s="13"/>
      <c r="C95" s="13"/>
      <c r="D95" t="s">
        <v>42</v>
      </c>
      <c r="F95">
        <v>14.38</v>
      </c>
      <c r="G95">
        <v>0</v>
      </c>
      <c r="H95">
        <v>3.02</v>
      </c>
      <c r="I95">
        <v>17.399999999999999</v>
      </c>
      <c r="J95">
        <v>17.399999999999999</v>
      </c>
      <c r="K95">
        <v>0</v>
      </c>
      <c r="L95" t="s">
        <v>17</v>
      </c>
      <c r="M95" t="s">
        <v>87</v>
      </c>
      <c r="N95" t="s">
        <v>103</v>
      </c>
    </row>
    <row r="96" spans="1:14" x14ac:dyDescent="0.35">
      <c r="A96" s="40"/>
      <c r="B96" s="13"/>
      <c r="C96" s="13"/>
      <c r="D96" t="s">
        <v>42</v>
      </c>
      <c r="F96">
        <v>14.38</v>
      </c>
      <c r="G96">
        <v>0</v>
      </c>
      <c r="H96">
        <v>3.02</v>
      </c>
      <c r="I96">
        <v>17.399999999999999</v>
      </c>
      <c r="J96">
        <v>17.399999999999999</v>
      </c>
      <c r="K96">
        <v>0</v>
      </c>
      <c r="L96" t="s">
        <v>17</v>
      </c>
      <c r="M96" t="s">
        <v>87</v>
      </c>
      <c r="N96" t="s">
        <v>103</v>
      </c>
    </row>
    <row r="97" spans="1:14" x14ac:dyDescent="0.35">
      <c r="A97" s="40"/>
      <c r="B97" s="13"/>
      <c r="C97" s="13"/>
      <c r="D97" t="s">
        <v>42</v>
      </c>
      <c r="F97">
        <v>6.61</v>
      </c>
      <c r="G97">
        <v>0</v>
      </c>
      <c r="H97">
        <v>1.39</v>
      </c>
      <c r="I97">
        <v>8</v>
      </c>
      <c r="J97">
        <v>8</v>
      </c>
      <c r="K97">
        <v>0</v>
      </c>
      <c r="L97" t="s">
        <v>17</v>
      </c>
      <c r="M97" t="s">
        <v>87</v>
      </c>
      <c r="N97" t="s">
        <v>103</v>
      </c>
    </row>
    <row r="98" spans="1:14" x14ac:dyDescent="0.35">
      <c r="A98" s="40"/>
      <c r="B98" s="13"/>
      <c r="C98" s="13"/>
      <c r="D98" t="s">
        <v>42</v>
      </c>
      <c r="F98">
        <v>259.23</v>
      </c>
      <c r="G98">
        <v>0</v>
      </c>
      <c r="H98">
        <v>54.44</v>
      </c>
      <c r="I98">
        <v>313.67</v>
      </c>
      <c r="J98">
        <v>313.67</v>
      </c>
      <c r="K98">
        <v>0</v>
      </c>
      <c r="L98" t="s">
        <v>17</v>
      </c>
      <c r="M98" t="s">
        <v>87</v>
      </c>
      <c r="N98" t="s">
        <v>103</v>
      </c>
    </row>
    <row r="99" spans="1:14" x14ac:dyDescent="0.35">
      <c r="A99" s="40"/>
      <c r="B99" s="13"/>
      <c r="C99" s="13"/>
      <c r="D99" t="s">
        <v>42</v>
      </c>
      <c r="F99">
        <v>51.57</v>
      </c>
      <c r="G99">
        <v>0</v>
      </c>
      <c r="H99">
        <v>10.83</v>
      </c>
      <c r="I99">
        <v>62.4</v>
      </c>
      <c r="J99">
        <v>62.4</v>
      </c>
      <c r="K99">
        <v>0</v>
      </c>
      <c r="L99" t="s">
        <v>17</v>
      </c>
      <c r="M99" t="s">
        <v>87</v>
      </c>
      <c r="N99" t="s">
        <v>103</v>
      </c>
    </row>
    <row r="100" spans="1:14" x14ac:dyDescent="0.35">
      <c r="A100" s="40"/>
      <c r="B100" s="13"/>
      <c r="C100" s="13"/>
      <c r="D100" t="s">
        <v>43</v>
      </c>
      <c r="F100">
        <v>6.61</v>
      </c>
      <c r="G100">
        <v>0</v>
      </c>
      <c r="H100">
        <v>1.39</v>
      </c>
      <c r="I100">
        <v>8</v>
      </c>
      <c r="J100">
        <v>8</v>
      </c>
      <c r="K100">
        <v>0</v>
      </c>
      <c r="L100" t="s">
        <v>17</v>
      </c>
      <c r="M100" t="s">
        <v>87</v>
      </c>
      <c r="N100" t="s">
        <v>103</v>
      </c>
    </row>
    <row r="101" spans="1:14" x14ac:dyDescent="0.35">
      <c r="A101" s="40"/>
      <c r="B101" s="13"/>
      <c r="C101" s="13"/>
      <c r="D101" t="s">
        <v>43</v>
      </c>
      <c r="F101">
        <v>15.31</v>
      </c>
      <c r="G101">
        <v>0</v>
      </c>
      <c r="H101">
        <v>3.22</v>
      </c>
      <c r="I101">
        <v>18.53</v>
      </c>
      <c r="J101">
        <v>18.53</v>
      </c>
      <c r="K101">
        <v>0</v>
      </c>
      <c r="L101" t="s">
        <v>17</v>
      </c>
      <c r="M101" t="s">
        <v>87</v>
      </c>
      <c r="N101" t="s">
        <v>103</v>
      </c>
    </row>
    <row r="102" spans="1:14" x14ac:dyDescent="0.35">
      <c r="A102" s="40"/>
      <c r="B102" s="13"/>
      <c r="C102" s="13"/>
      <c r="D102" t="s">
        <v>43</v>
      </c>
      <c r="F102">
        <v>51.57</v>
      </c>
      <c r="G102">
        <v>0</v>
      </c>
      <c r="H102">
        <v>10.83</v>
      </c>
      <c r="I102">
        <v>62.4</v>
      </c>
      <c r="J102">
        <v>62.4</v>
      </c>
      <c r="K102">
        <v>0</v>
      </c>
      <c r="L102" t="s">
        <v>17</v>
      </c>
      <c r="M102" t="s">
        <v>87</v>
      </c>
      <c r="N102" t="s">
        <v>103</v>
      </c>
    </row>
    <row r="103" spans="1:14" x14ac:dyDescent="0.35">
      <c r="A103" s="40"/>
      <c r="B103" s="13"/>
      <c r="C103" s="13"/>
      <c r="D103" t="s">
        <v>43</v>
      </c>
      <c r="F103">
        <v>163.05000000000001</v>
      </c>
      <c r="G103">
        <v>0</v>
      </c>
      <c r="H103">
        <v>34.24</v>
      </c>
      <c r="I103">
        <v>197.29</v>
      </c>
      <c r="J103">
        <v>197.29</v>
      </c>
      <c r="K103">
        <v>0</v>
      </c>
      <c r="L103" t="s">
        <v>17</v>
      </c>
      <c r="M103" t="s">
        <v>87</v>
      </c>
      <c r="N103" t="s">
        <v>103</v>
      </c>
    </row>
    <row r="104" spans="1:14" x14ac:dyDescent="0.35">
      <c r="A104" s="40"/>
      <c r="B104" s="13"/>
      <c r="C104" s="13"/>
      <c r="D104" t="s">
        <v>43</v>
      </c>
      <c r="F104">
        <v>6.61</v>
      </c>
      <c r="G104">
        <v>0</v>
      </c>
      <c r="H104">
        <v>1.39</v>
      </c>
      <c r="I104">
        <v>8</v>
      </c>
      <c r="J104">
        <v>8</v>
      </c>
      <c r="K104">
        <v>0</v>
      </c>
      <c r="L104" t="s">
        <v>17</v>
      </c>
      <c r="M104" t="s">
        <v>87</v>
      </c>
      <c r="N104" t="s">
        <v>103</v>
      </c>
    </row>
    <row r="105" spans="1:14" x14ac:dyDescent="0.35">
      <c r="A105" s="40"/>
      <c r="B105" s="13"/>
      <c r="C105" s="13"/>
      <c r="D105" t="s">
        <v>43</v>
      </c>
      <c r="F105">
        <v>14.38</v>
      </c>
      <c r="G105">
        <v>0</v>
      </c>
      <c r="H105">
        <v>3.02</v>
      </c>
      <c r="I105">
        <v>17.399999999999999</v>
      </c>
      <c r="J105">
        <v>17.399999999999999</v>
      </c>
      <c r="K105">
        <v>0</v>
      </c>
      <c r="L105" t="s">
        <v>17</v>
      </c>
      <c r="M105" t="s">
        <v>87</v>
      </c>
      <c r="N105" t="s">
        <v>103</v>
      </c>
    </row>
    <row r="106" spans="1:14" x14ac:dyDescent="0.35">
      <c r="A106" s="40"/>
      <c r="B106" s="13"/>
      <c r="C106" s="13"/>
      <c r="D106" t="s">
        <v>43</v>
      </c>
      <c r="F106">
        <v>15.96</v>
      </c>
      <c r="G106">
        <v>0</v>
      </c>
      <c r="H106">
        <v>3.35</v>
      </c>
      <c r="I106">
        <v>19.309999999999999</v>
      </c>
      <c r="J106">
        <v>19.309999999999999</v>
      </c>
      <c r="K106">
        <v>0</v>
      </c>
      <c r="L106" t="s">
        <v>17</v>
      </c>
      <c r="M106" t="s">
        <v>87</v>
      </c>
      <c r="N106" t="s">
        <v>103</v>
      </c>
    </row>
    <row r="107" spans="1:14" x14ac:dyDescent="0.35">
      <c r="A107" s="40"/>
      <c r="B107" s="13"/>
      <c r="C107" s="13"/>
      <c r="D107" t="s">
        <v>44</v>
      </c>
      <c r="F107">
        <v>6.61</v>
      </c>
      <c r="G107">
        <v>0</v>
      </c>
      <c r="H107">
        <v>1.39</v>
      </c>
      <c r="I107">
        <v>8</v>
      </c>
      <c r="J107">
        <v>8</v>
      </c>
      <c r="K107">
        <v>0</v>
      </c>
      <c r="L107" t="s">
        <v>17</v>
      </c>
      <c r="M107" t="s">
        <v>87</v>
      </c>
      <c r="N107" t="s">
        <v>103</v>
      </c>
    </row>
    <row r="108" spans="1:14" x14ac:dyDescent="0.35">
      <c r="A108" s="40"/>
      <c r="B108" s="13"/>
      <c r="C108" s="13"/>
      <c r="D108" t="s">
        <v>44</v>
      </c>
      <c r="F108">
        <v>14.38</v>
      </c>
      <c r="G108">
        <v>0</v>
      </c>
      <c r="H108">
        <v>3.02</v>
      </c>
      <c r="I108">
        <v>17.399999999999999</v>
      </c>
      <c r="J108">
        <v>17.399999999999999</v>
      </c>
      <c r="K108">
        <v>0</v>
      </c>
      <c r="L108" t="s">
        <v>17</v>
      </c>
      <c r="M108" t="s">
        <v>87</v>
      </c>
      <c r="N108" t="s">
        <v>103</v>
      </c>
    </row>
    <row r="109" spans="1:14" x14ac:dyDescent="0.35">
      <c r="A109" s="40"/>
      <c r="B109" s="13"/>
      <c r="C109" s="13"/>
      <c r="D109" t="s">
        <v>44</v>
      </c>
      <c r="F109">
        <v>14.55</v>
      </c>
      <c r="G109">
        <v>0</v>
      </c>
      <c r="H109">
        <v>3.06</v>
      </c>
      <c r="I109">
        <v>17.61</v>
      </c>
      <c r="J109">
        <v>17.61</v>
      </c>
      <c r="K109">
        <v>0</v>
      </c>
      <c r="L109" t="s">
        <v>17</v>
      </c>
      <c r="M109" t="s">
        <v>87</v>
      </c>
      <c r="N109" t="s">
        <v>103</v>
      </c>
    </row>
    <row r="110" spans="1:14" x14ac:dyDescent="0.35">
      <c r="A110" s="40"/>
      <c r="B110" s="13"/>
      <c r="C110" s="13"/>
      <c r="D110" t="s">
        <v>44</v>
      </c>
      <c r="F110">
        <v>15.82</v>
      </c>
      <c r="G110">
        <v>0</v>
      </c>
      <c r="H110">
        <v>3.32</v>
      </c>
      <c r="I110">
        <v>19.14</v>
      </c>
      <c r="J110">
        <v>19.14</v>
      </c>
      <c r="K110">
        <v>0</v>
      </c>
      <c r="L110" t="s">
        <v>17</v>
      </c>
      <c r="M110" t="s">
        <v>87</v>
      </c>
      <c r="N110" t="s">
        <v>103</v>
      </c>
    </row>
    <row r="111" spans="1:14" x14ac:dyDescent="0.35">
      <c r="A111" s="40"/>
      <c r="B111" s="13"/>
      <c r="C111" s="13"/>
      <c r="D111" t="s">
        <v>44</v>
      </c>
      <c r="F111">
        <v>51.57</v>
      </c>
      <c r="G111">
        <v>0</v>
      </c>
      <c r="H111">
        <v>10.83</v>
      </c>
      <c r="I111">
        <v>62.4</v>
      </c>
      <c r="J111">
        <v>62.4</v>
      </c>
      <c r="K111">
        <v>0</v>
      </c>
      <c r="L111" t="s">
        <v>17</v>
      </c>
      <c r="M111" t="s">
        <v>87</v>
      </c>
      <c r="N111" t="s">
        <v>103</v>
      </c>
    </row>
    <row r="112" spans="1:14" x14ac:dyDescent="0.35">
      <c r="A112" s="40"/>
      <c r="B112" s="13"/>
      <c r="C112" s="13"/>
      <c r="D112" t="s">
        <v>44</v>
      </c>
      <c r="F112">
        <v>153.4</v>
      </c>
      <c r="G112">
        <v>0</v>
      </c>
      <c r="H112">
        <v>32.21</v>
      </c>
      <c r="I112">
        <v>185.61</v>
      </c>
      <c r="J112">
        <v>185.61</v>
      </c>
      <c r="K112">
        <v>0</v>
      </c>
      <c r="L112" t="s">
        <v>17</v>
      </c>
      <c r="M112" t="s">
        <v>87</v>
      </c>
      <c r="N112" t="s">
        <v>103</v>
      </c>
    </row>
    <row r="113" spans="1:15" x14ac:dyDescent="0.35">
      <c r="A113" s="40"/>
      <c r="B113" s="13"/>
      <c r="C113" s="13"/>
      <c r="D113" t="s">
        <v>44</v>
      </c>
      <c r="F113">
        <v>6.61</v>
      </c>
      <c r="G113">
        <v>0</v>
      </c>
      <c r="H113">
        <v>1.39</v>
      </c>
      <c r="I113">
        <v>8</v>
      </c>
      <c r="J113">
        <v>8</v>
      </c>
      <c r="K113">
        <v>0</v>
      </c>
      <c r="L113" t="s">
        <v>17</v>
      </c>
      <c r="M113" t="s">
        <v>87</v>
      </c>
      <c r="N113" t="s">
        <v>103</v>
      </c>
    </row>
    <row r="114" spans="1:15" x14ac:dyDescent="0.35">
      <c r="A114" s="40"/>
      <c r="B114" s="13"/>
      <c r="C114" s="13"/>
      <c r="D114" t="s">
        <v>42</v>
      </c>
      <c r="F114">
        <v>78.48</v>
      </c>
      <c r="G114">
        <v>0</v>
      </c>
      <c r="H114">
        <v>16.48</v>
      </c>
      <c r="I114">
        <v>94.96</v>
      </c>
      <c r="J114">
        <v>94.96</v>
      </c>
      <c r="K114">
        <v>0</v>
      </c>
      <c r="L114" t="s">
        <v>17</v>
      </c>
      <c r="M114" t="s">
        <v>87</v>
      </c>
      <c r="N114" t="s">
        <v>103</v>
      </c>
    </row>
    <row r="115" spans="1:15" x14ac:dyDescent="0.35">
      <c r="A115" s="40"/>
      <c r="B115" s="13"/>
      <c r="C115" s="13"/>
      <c r="D115" t="s">
        <v>43</v>
      </c>
      <c r="F115">
        <v>78</v>
      </c>
      <c r="G115">
        <v>0</v>
      </c>
      <c r="H115">
        <v>16.38</v>
      </c>
      <c r="I115">
        <v>94.38</v>
      </c>
      <c r="J115">
        <v>94.38</v>
      </c>
      <c r="K115">
        <v>0</v>
      </c>
      <c r="L115" t="s">
        <v>17</v>
      </c>
      <c r="M115" t="s">
        <v>87</v>
      </c>
      <c r="N115" t="s">
        <v>103</v>
      </c>
    </row>
    <row r="116" spans="1:15" x14ac:dyDescent="0.35">
      <c r="A116" s="40"/>
      <c r="B116" s="13"/>
      <c r="C116" s="13"/>
      <c r="D116" t="s">
        <v>44</v>
      </c>
      <c r="F116">
        <v>79.150000000000006</v>
      </c>
      <c r="G116">
        <v>0</v>
      </c>
      <c r="H116">
        <v>16.62</v>
      </c>
      <c r="I116">
        <v>95.77</v>
      </c>
      <c r="J116">
        <v>95.77</v>
      </c>
      <c r="K116">
        <v>0</v>
      </c>
      <c r="L116" t="s">
        <v>17</v>
      </c>
      <c r="M116" t="s">
        <v>87</v>
      </c>
      <c r="N116" t="s">
        <v>103</v>
      </c>
    </row>
    <row r="117" spans="1:15" x14ac:dyDescent="0.35">
      <c r="A117" s="40"/>
      <c r="B117" s="40"/>
      <c r="C117" s="13"/>
      <c r="D117" t="s">
        <v>43</v>
      </c>
      <c r="F117">
        <v>539.12</v>
      </c>
      <c r="G117">
        <v>80.87</v>
      </c>
      <c r="H117">
        <v>113.22</v>
      </c>
      <c r="I117">
        <v>571.47</v>
      </c>
      <c r="J117">
        <v>571.47</v>
      </c>
      <c r="K117">
        <v>0</v>
      </c>
      <c r="L117" t="s">
        <v>17</v>
      </c>
      <c r="M117" t="s">
        <v>100</v>
      </c>
      <c r="N117" t="s">
        <v>100</v>
      </c>
    </row>
    <row r="118" spans="1:15" x14ac:dyDescent="0.35">
      <c r="A118" s="40"/>
      <c r="B118" s="13"/>
      <c r="C118" s="13"/>
      <c r="D118" t="s">
        <v>42</v>
      </c>
      <c r="F118">
        <v>200.27</v>
      </c>
      <c r="G118">
        <v>0</v>
      </c>
      <c r="H118">
        <v>42.06</v>
      </c>
      <c r="I118">
        <v>242.33</v>
      </c>
      <c r="J118">
        <v>242.33</v>
      </c>
      <c r="K118">
        <v>0</v>
      </c>
      <c r="L118" t="s">
        <v>17</v>
      </c>
      <c r="M118" t="s">
        <v>87</v>
      </c>
      <c r="N118" t="s">
        <v>103</v>
      </c>
    </row>
    <row r="119" spans="1:15" x14ac:dyDescent="0.35">
      <c r="A119" s="40"/>
      <c r="B119" s="13"/>
      <c r="C119" s="13"/>
      <c r="D119" t="s">
        <v>43</v>
      </c>
      <c r="F119">
        <v>190.09</v>
      </c>
      <c r="G119">
        <v>0</v>
      </c>
      <c r="H119">
        <v>39.92</v>
      </c>
      <c r="I119">
        <v>230.01</v>
      </c>
      <c r="J119">
        <v>230.01</v>
      </c>
      <c r="K119">
        <v>0</v>
      </c>
      <c r="L119" t="s">
        <v>17</v>
      </c>
      <c r="M119" t="s">
        <v>87</v>
      </c>
      <c r="N119" t="s">
        <v>103</v>
      </c>
    </row>
    <row r="120" spans="1:15" x14ac:dyDescent="0.35">
      <c r="A120" s="40"/>
      <c r="B120" s="13"/>
      <c r="C120" s="13"/>
      <c r="D120" t="s">
        <v>44</v>
      </c>
      <c r="F120">
        <v>126.83</v>
      </c>
      <c r="G120">
        <v>0</v>
      </c>
      <c r="H120">
        <v>26.63</v>
      </c>
      <c r="I120">
        <v>153.46</v>
      </c>
      <c r="J120">
        <v>153.46</v>
      </c>
      <c r="K120">
        <v>0</v>
      </c>
      <c r="L120" t="s">
        <v>17</v>
      </c>
      <c r="M120" t="s">
        <v>87</v>
      </c>
      <c r="N120" t="s">
        <v>103</v>
      </c>
      <c r="O120" t="s">
        <v>112</v>
      </c>
    </row>
    <row r="121" spans="1:15" x14ac:dyDescent="0.35">
      <c r="A121" s="40"/>
      <c r="B121" s="13"/>
      <c r="C121" s="13"/>
      <c r="D121" t="s">
        <v>44</v>
      </c>
      <c r="F121" s="1">
        <v>2278</v>
      </c>
      <c r="G121">
        <v>0</v>
      </c>
      <c r="H121">
        <v>478.38</v>
      </c>
      <c r="I121" s="1">
        <v>2756.38</v>
      </c>
      <c r="J121">
        <v>229.7</v>
      </c>
      <c r="K121" s="1">
        <v>2526.6799999999998</v>
      </c>
      <c r="L121" t="s">
        <v>19</v>
      </c>
      <c r="M121" t="s">
        <v>89</v>
      </c>
      <c r="N121" t="s">
        <v>89</v>
      </c>
    </row>
    <row r="122" spans="1:15" x14ac:dyDescent="0.35">
      <c r="A122" s="40"/>
      <c r="B122" s="13"/>
      <c r="C122" s="13"/>
      <c r="D122" t="s">
        <v>42</v>
      </c>
      <c r="F122">
        <v>131.4</v>
      </c>
      <c r="G122">
        <v>0</v>
      </c>
      <c r="H122">
        <v>27.59</v>
      </c>
      <c r="I122">
        <v>158.99</v>
      </c>
      <c r="J122">
        <v>158.99</v>
      </c>
      <c r="K122">
        <v>0</v>
      </c>
      <c r="L122" t="s">
        <v>17</v>
      </c>
      <c r="M122" t="s">
        <v>87</v>
      </c>
      <c r="N122" t="s">
        <v>103</v>
      </c>
    </row>
    <row r="123" spans="1:15" x14ac:dyDescent="0.35">
      <c r="A123" s="40"/>
      <c r="B123" s="13"/>
      <c r="C123" s="13"/>
      <c r="D123" t="s">
        <v>44</v>
      </c>
      <c r="F123">
        <v>314.04000000000002</v>
      </c>
      <c r="G123">
        <v>0</v>
      </c>
      <c r="H123">
        <v>0</v>
      </c>
      <c r="I123">
        <v>0</v>
      </c>
      <c r="J123">
        <v>0</v>
      </c>
      <c r="K123">
        <v>0</v>
      </c>
      <c r="L123" t="s">
        <v>104</v>
      </c>
      <c r="M123" t="s">
        <v>90</v>
      </c>
      <c r="N123" t="s">
        <v>98</v>
      </c>
    </row>
    <row r="124" spans="1:15" x14ac:dyDescent="0.35">
      <c r="A124" s="13"/>
      <c r="B124" s="13"/>
      <c r="C124" s="13"/>
      <c r="D124" t="s">
        <v>44</v>
      </c>
      <c r="E124" s="39"/>
      <c r="F124">
        <v>102.25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104</v>
      </c>
      <c r="M124" t="s">
        <v>87</v>
      </c>
      <c r="N124" t="s">
        <v>88</v>
      </c>
    </row>
    <row r="125" spans="1:15" x14ac:dyDescent="0.35">
      <c r="A125" s="13"/>
      <c r="B125" s="13"/>
      <c r="C125" s="13"/>
      <c r="D125" t="s">
        <v>44</v>
      </c>
      <c r="E125" s="39"/>
      <c r="F125">
        <f>95.63+98.87</f>
        <v>194.5</v>
      </c>
      <c r="G125">
        <v>0</v>
      </c>
      <c r="H125">
        <v>0</v>
      </c>
      <c r="I125">
        <v>0</v>
      </c>
      <c r="J125">
        <v>0</v>
      </c>
      <c r="K125">
        <v>0</v>
      </c>
      <c r="L125" t="s">
        <v>104</v>
      </c>
      <c r="M125" t="s">
        <v>87</v>
      </c>
      <c r="N125" t="s">
        <v>93</v>
      </c>
    </row>
    <row r="126" spans="1:15" x14ac:dyDescent="0.35">
      <c r="A126" s="13"/>
      <c r="B126" s="13"/>
      <c r="C126" s="13"/>
      <c r="D126" t="s">
        <v>44</v>
      </c>
      <c r="E126" s="39"/>
      <c r="F126">
        <v>625</v>
      </c>
      <c r="G126">
        <v>0</v>
      </c>
      <c r="H126">
        <v>0</v>
      </c>
      <c r="I126">
        <v>0</v>
      </c>
      <c r="J126">
        <v>0</v>
      </c>
      <c r="K126">
        <v>0</v>
      </c>
      <c r="L126" t="s">
        <v>17</v>
      </c>
      <c r="M126" t="s">
        <v>91</v>
      </c>
      <c r="N126" t="s">
        <v>92</v>
      </c>
    </row>
    <row r="127" spans="1:15" x14ac:dyDescent="0.35">
      <c r="A127" s="13"/>
      <c r="B127" s="13"/>
      <c r="C127" s="13"/>
      <c r="D127" t="s">
        <v>44</v>
      </c>
      <c r="E127" s="39"/>
      <c r="F127">
        <f>85.5*2*2</f>
        <v>342</v>
      </c>
      <c r="G127">
        <v>0</v>
      </c>
      <c r="H127">
        <v>0</v>
      </c>
      <c r="I127">
        <v>0</v>
      </c>
      <c r="J127">
        <v>0</v>
      </c>
      <c r="K127">
        <v>0</v>
      </c>
      <c r="L127" t="s">
        <v>17</v>
      </c>
      <c r="M127" t="s">
        <v>90</v>
      </c>
      <c r="N127" t="s">
        <v>105</v>
      </c>
    </row>
    <row r="128" spans="1:15" x14ac:dyDescent="0.35">
      <c r="A128" s="13"/>
      <c r="B128" s="13"/>
      <c r="C128" s="13"/>
      <c r="D128" t="s">
        <v>44</v>
      </c>
      <c r="E128" s="39"/>
      <c r="F128">
        <f>85.5*3*2</f>
        <v>513</v>
      </c>
      <c r="G128">
        <v>0</v>
      </c>
      <c r="H128">
        <v>0</v>
      </c>
      <c r="I128">
        <v>0</v>
      </c>
      <c r="J128">
        <v>0</v>
      </c>
      <c r="K128">
        <v>0</v>
      </c>
      <c r="L128" t="s">
        <v>17</v>
      </c>
      <c r="M128" t="s">
        <v>90</v>
      </c>
      <c r="N128" t="s">
        <v>105</v>
      </c>
    </row>
    <row r="129" spans="1:14" x14ac:dyDescent="0.35">
      <c r="A129" s="13"/>
      <c r="B129" s="13"/>
      <c r="C129" s="13"/>
      <c r="D129" t="s">
        <v>44</v>
      </c>
      <c r="E129" s="39"/>
      <c r="F129">
        <f>1261.66/2</f>
        <v>630.83000000000004</v>
      </c>
      <c r="G129">
        <v>0</v>
      </c>
      <c r="H129">
        <v>0</v>
      </c>
      <c r="I129">
        <v>0</v>
      </c>
      <c r="J129">
        <v>0</v>
      </c>
      <c r="K129">
        <v>0</v>
      </c>
      <c r="L129" t="s">
        <v>17</v>
      </c>
      <c r="M129" t="s">
        <v>100</v>
      </c>
      <c r="N129" t="s">
        <v>101</v>
      </c>
    </row>
    <row r="130" spans="1:14" x14ac:dyDescent="0.35">
      <c r="A130" s="13"/>
      <c r="B130" s="13"/>
      <c r="C130" s="13"/>
      <c r="D130" t="s">
        <v>44</v>
      </c>
      <c r="E130" s="39"/>
      <c r="F130">
        <f>2236.33/2</f>
        <v>1118.165</v>
      </c>
      <c r="G130">
        <v>0</v>
      </c>
      <c r="H130">
        <v>0</v>
      </c>
      <c r="I130">
        <v>0</v>
      </c>
      <c r="J130">
        <v>0</v>
      </c>
      <c r="K130">
        <v>0</v>
      </c>
      <c r="L130" t="s">
        <v>17</v>
      </c>
      <c r="M130" t="s">
        <v>90</v>
      </c>
      <c r="N130" t="s">
        <v>99</v>
      </c>
    </row>
    <row r="131" spans="1:14" x14ac:dyDescent="0.35">
      <c r="A131" s="13"/>
      <c r="B131" s="13"/>
      <c r="C131" s="13"/>
      <c r="D131" t="s">
        <v>44</v>
      </c>
      <c r="E131" s="39"/>
      <c r="F131">
        <v>914.77</v>
      </c>
      <c r="G131">
        <v>0</v>
      </c>
      <c r="H131">
        <v>0</v>
      </c>
      <c r="I131">
        <v>0</v>
      </c>
      <c r="J131">
        <v>0</v>
      </c>
      <c r="K131">
        <v>0</v>
      </c>
      <c r="L131" t="s">
        <v>17</v>
      </c>
      <c r="M131" s="41" t="s">
        <v>97</v>
      </c>
      <c r="N131" s="41" t="s">
        <v>97</v>
      </c>
    </row>
    <row r="132" spans="1:14" x14ac:dyDescent="0.35">
      <c r="A132" s="13"/>
      <c r="B132" s="13"/>
      <c r="C132" s="13"/>
      <c r="D132" t="s">
        <v>44</v>
      </c>
      <c r="E132" s="39"/>
      <c r="F132">
        <v>123.56</v>
      </c>
      <c r="G132">
        <v>0</v>
      </c>
      <c r="H132">
        <v>0</v>
      </c>
      <c r="I132">
        <v>0</v>
      </c>
      <c r="J132">
        <v>0</v>
      </c>
      <c r="K132">
        <v>0</v>
      </c>
      <c r="L132" t="s">
        <v>17</v>
      </c>
      <c r="M132" t="s">
        <v>87</v>
      </c>
      <c r="N132" t="s">
        <v>88</v>
      </c>
    </row>
    <row r="133" spans="1:14" x14ac:dyDescent="0.35">
      <c r="A133" s="13"/>
      <c r="B133" s="13"/>
      <c r="C133" s="13"/>
      <c r="D133" t="s">
        <v>44</v>
      </c>
      <c r="E133" s="39"/>
      <c r="F133">
        <f>6843.56/2</f>
        <v>3421.78</v>
      </c>
      <c r="G133">
        <v>0</v>
      </c>
      <c r="H133">
        <v>0</v>
      </c>
      <c r="I133">
        <v>0</v>
      </c>
      <c r="J133">
        <v>0</v>
      </c>
      <c r="K133">
        <v>0</v>
      </c>
      <c r="L133" t="s">
        <v>17</v>
      </c>
      <c r="M133" t="s">
        <v>100</v>
      </c>
      <c r="N133" t="s">
        <v>101</v>
      </c>
    </row>
    <row r="134" spans="1:14" x14ac:dyDescent="0.35">
      <c r="A134" s="13"/>
      <c r="B134" s="13"/>
      <c r="C134" s="13"/>
      <c r="D134" t="s">
        <v>44</v>
      </c>
      <c r="E134" s="39"/>
      <c r="F134">
        <v>535.23</v>
      </c>
      <c r="G134">
        <v>0</v>
      </c>
      <c r="H134">
        <v>0</v>
      </c>
      <c r="I134">
        <v>0</v>
      </c>
      <c r="J134">
        <v>0</v>
      </c>
      <c r="K134">
        <v>0</v>
      </c>
      <c r="L134" t="s">
        <v>17</v>
      </c>
      <c r="M134" t="s">
        <v>90</v>
      </c>
      <c r="N134" t="s">
        <v>98</v>
      </c>
    </row>
    <row r="135" spans="1:14" x14ac:dyDescent="0.35">
      <c r="A135" s="13"/>
      <c r="B135" s="13"/>
      <c r="C135" s="13"/>
      <c r="D135" t="s">
        <v>44</v>
      </c>
      <c r="E135" s="39"/>
      <c r="F135">
        <v>410</v>
      </c>
      <c r="G135">
        <v>0</v>
      </c>
      <c r="H135">
        <v>0</v>
      </c>
      <c r="I135">
        <v>0</v>
      </c>
      <c r="J135">
        <v>0</v>
      </c>
      <c r="K135">
        <v>0</v>
      </c>
      <c r="L135" t="s">
        <v>17</v>
      </c>
      <c r="M135" t="s">
        <v>90</v>
      </c>
      <c r="N135" t="s">
        <v>93</v>
      </c>
    </row>
    <row r="136" spans="1:14" x14ac:dyDescent="0.35">
      <c r="A136" s="13"/>
      <c r="B136" s="13"/>
      <c r="C136" s="13"/>
      <c r="D136" t="s">
        <v>44</v>
      </c>
      <c r="E136" s="39"/>
      <c r="F136">
        <v>650</v>
      </c>
      <c r="G136">
        <v>0</v>
      </c>
      <c r="H136">
        <v>0</v>
      </c>
      <c r="I136">
        <v>0</v>
      </c>
      <c r="J136">
        <v>0</v>
      </c>
      <c r="K136">
        <v>0</v>
      </c>
      <c r="L136" t="s">
        <v>17</v>
      </c>
      <c r="M136" s="41" t="s">
        <v>97</v>
      </c>
      <c r="N136" s="41" t="s">
        <v>97</v>
      </c>
    </row>
    <row r="137" spans="1:14" x14ac:dyDescent="0.35">
      <c r="A137" s="13"/>
      <c r="B137" s="13"/>
      <c r="C137" s="13"/>
      <c r="D137" t="s">
        <v>44</v>
      </c>
      <c r="E137" s="39"/>
      <c r="F137">
        <v>600</v>
      </c>
      <c r="G137">
        <v>0</v>
      </c>
      <c r="H137">
        <v>0</v>
      </c>
      <c r="I137">
        <v>0</v>
      </c>
      <c r="J137">
        <v>0</v>
      </c>
      <c r="K137">
        <v>0</v>
      </c>
      <c r="L137" t="s">
        <v>17</v>
      </c>
      <c r="M137" t="s">
        <v>90</v>
      </c>
      <c r="N137" t="s">
        <v>106</v>
      </c>
    </row>
    <row r="138" spans="1:14" x14ac:dyDescent="0.35">
      <c r="A138" s="40"/>
      <c r="B138" s="13"/>
      <c r="C138" s="13"/>
      <c r="D138" t="s">
        <v>44</v>
      </c>
      <c r="F138">
        <v>55.99</v>
      </c>
      <c r="G138">
        <v>0</v>
      </c>
      <c r="H138">
        <v>11.99</v>
      </c>
      <c r="I138">
        <v>69.09</v>
      </c>
      <c r="J138">
        <v>69.09</v>
      </c>
      <c r="K138">
        <v>0</v>
      </c>
      <c r="L138" t="s">
        <v>17</v>
      </c>
      <c r="M138" t="s">
        <v>87</v>
      </c>
      <c r="N138" t="s">
        <v>88</v>
      </c>
    </row>
    <row r="139" spans="1:14" x14ac:dyDescent="0.35">
      <c r="A139" s="13"/>
      <c r="B139" s="13"/>
      <c r="C139" s="13"/>
      <c r="D139" t="s">
        <v>44</v>
      </c>
      <c r="F139">
        <v>56</v>
      </c>
      <c r="G139">
        <v>0</v>
      </c>
      <c r="H139">
        <v>6.22</v>
      </c>
      <c r="I139">
        <v>62.22</v>
      </c>
      <c r="J139">
        <v>62.22</v>
      </c>
      <c r="K139">
        <v>0</v>
      </c>
      <c r="L139" t="s">
        <v>17</v>
      </c>
      <c r="M139" t="s">
        <v>87</v>
      </c>
      <c r="N139" t="s">
        <v>94</v>
      </c>
    </row>
    <row r="140" spans="1:14" x14ac:dyDescent="0.35">
      <c r="A140" s="13"/>
      <c r="B140" s="13"/>
      <c r="C140" s="13"/>
      <c r="D140" t="s">
        <v>44</v>
      </c>
      <c r="E140" s="39"/>
      <c r="F140">
        <v>61.98</v>
      </c>
      <c r="G140">
        <v>0</v>
      </c>
      <c r="H140">
        <v>13.02</v>
      </c>
      <c r="I140">
        <v>75</v>
      </c>
      <c r="J140">
        <v>75</v>
      </c>
      <c r="K140">
        <v>0</v>
      </c>
      <c r="L140" t="s">
        <v>17</v>
      </c>
      <c r="M140" t="s">
        <v>87</v>
      </c>
      <c r="N140" t="s">
        <v>88</v>
      </c>
    </row>
    <row r="141" spans="1:14" x14ac:dyDescent="0.35">
      <c r="A141" s="13"/>
      <c r="B141" s="13"/>
      <c r="C141" s="13"/>
      <c r="D141" t="s">
        <v>44</v>
      </c>
      <c r="E141" s="39"/>
      <c r="F141">
        <v>60.59</v>
      </c>
      <c r="G141">
        <v>0</v>
      </c>
      <c r="H141">
        <v>12.72</v>
      </c>
      <c r="I141">
        <v>73.31</v>
      </c>
      <c r="J141">
        <v>73.31</v>
      </c>
      <c r="K141">
        <v>0</v>
      </c>
      <c r="L141" t="s">
        <v>17</v>
      </c>
      <c r="M141" t="s">
        <v>87</v>
      </c>
      <c r="N141" t="s">
        <v>88</v>
      </c>
    </row>
    <row r="142" spans="1:14" x14ac:dyDescent="0.35">
      <c r="B142" s="13"/>
      <c r="C142" s="13"/>
      <c r="D142" t="s">
        <v>44</v>
      </c>
      <c r="F142">
        <f>18*1+1.35+90.45</f>
        <v>109.80000000000001</v>
      </c>
      <c r="G142">
        <v>0</v>
      </c>
      <c r="H142">
        <v>0</v>
      </c>
      <c r="I142">
        <v>0</v>
      </c>
      <c r="J142">
        <v>0</v>
      </c>
      <c r="K142">
        <v>0</v>
      </c>
      <c r="L142" t="s">
        <v>17</v>
      </c>
      <c r="M142" t="s">
        <v>114</v>
      </c>
      <c r="N142" t="s">
        <v>115</v>
      </c>
    </row>
    <row r="143" spans="1:14" x14ac:dyDescent="0.35">
      <c r="B143" s="13"/>
      <c r="C143" s="13"/>
      <c r="D143" t="s">
        <v>42</v>
      </c>
      <c r="F143">
        <f t="shared" ref="F143:F145" si="0">955.66</f>
        <v>955.66</v>
      </c>
      <c r="G143">
        <v>0</v>
      </c>
      <c r="H143">
        <v>0</v>
      </c>
      <c r="I143">
        <v>0</v>
      </c>
      <c r="J143">
        <v>0</v>
      </c>
      <c r="K143">
        <v>0</v>
      </c>
      <c r="L143" t="s">
        <v>17</v>
      </c>
      <c r="M143" t="s">
        <v>114</v>
      </c>
      <c r="N143" t="s">
        <v>116</v>
      </c>
    </row>
    <row r="144" spans="1:14" x14ac:dyDescent="0.35">
      <c r="B144" s="13"/>
      <c r="C144" s="13"/>
      <c r="D144" t="s">
        <v>43</v>
      </c>
      <c r="F144">
        <f t="shared" si="0"/>
        <v>955.66</v>
      </c>
      <c r="G144">
        <v>0</v>
      </c>
      <c r="H144">
        <v>0</v>
      </c>
      <c r="I144">
        <v>0</v>
      </c>
      <c r="J144">
        <v>0</v>
      </c>
      <c r="K144">
        <v>0</v>
      </c>
      <c r="L144" t="s">
        <v>17</v>
      </c>
      <c r="M144" t="s">
        <v>114</v>
      </c>
      <c r="N144" t="s">
        <v>116</v>
      </c>
    </row>
    <row r="145" spans="1:14" x14ac:dyDescent="0.35">
      <c r="B145" s="13"/>
      <c r="C145" s="13"/>
      <c r="D145" t="s">
        <v>44</v>
      </c>
      <c r="F145">
        <f t="shared" si="0"/>
        <v>955.66</v>
      </c>
      <c r="G145">
        <v>0</v>
      </c>
      <c r="H145">
        <v>0</v>
      </c>
      <c r="I145">
        <v>0</v>
      </c>
      <c r="J145">
        <v>0</v>
      </c>
      <c r="K145">
        <v>0</v>
      </c>
      <c r="L145" t="s">
        <v>17</v>
      </c>
      <c r="M145" t="s">
        <v>114</v>
      </c>
      <c r="N145" t="s">
        <v>116</v>
      </c>
    </row>
    <row r="146" spans="1:14" x14ac:dyDescent="0.35">
      <c r="B146" s="13"/>
      <c r="C146" s="13"/>
      <c r="D146" t="s">
        <v>44</v>
      </c>
      <c r="F146">
        <f>9*1.5</f>
        <v>13.5</v>
      </c>
      <c r="G146">
        <v>0</v>
      </c>
      <c r="H146">
        <v>0</v>
      </c>
      <c r="I146">
        <v>0</v>
      </c>
      <c r="J146">
        <v>0</v>
      </c>
      <c r="K146">
        <v>0</v>
      </c>
      <c r="L146" t="s">
        <v>17</v>
      </c>
      <c r="M146" t="s">
        <v>114</v>
      </c>
      <c r="N146" t="s">
        <v>115</v>
      </c>
    </row>
    <row r="147" spans="1:14" x14ac:dyDescent="0.35">
      <c r="A147" s="41"/>
      <c r="B147" s="56"/>
      <c r="C147" s="56"/>
      <c r="D147" t="s">
        <v>44</v>
      </c>
      <c r="E147" s="41"/>
      <c r="F147" s="41">
        <f>20*24</f>
        <v>480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 t="s">
        <v>17</v>
      </c>
      <c r="M147" s="41" t="s">
        <v>114</v>
      </c>
      <c r="N147" s="41" t="s">
        <v>117</v>
      </c>
    </row>
    <row r="148" spans="1:14" x14ac:dyDescent="0.35">
      <c r="B148" s="13"/>
      <c r="C148" s="13"/>
      <c r="D148" t="s">
        <v>44</v>
      </c>
      <c r="F148">
        <f>10+10+10.4+11*0.6+10+16*0.6</f>
        <v>56.6</v>
      </c>
      <c r="G148">
        <v>0</v>
      </c>
      <c r="H148">
        <v>0</v>
      </c>
      <c r="I148">
        <v>0</v>
      </c>
      <c r="J148">
        <v>0</v>
      </c>
      <c r="K148">
        <v>0</v>
      </c>
      <c r="L148" t="s">
        <v>17</v>
      </c>
      <c r="M148" t="s">
        <v>114</v>
      </c>
      <c r="N148" t="s">
        <v>118</v>
      </c>
    </row>
    <row r="149" spans="1:14" x14ac:dyDescent="0.35">
      <c r="B149" s="13"/>
      <c r="C149" s="13"/>
      <c r="D149" t="s">
        <v>44</v>
      </c>
      <c r="F149">
        <v>825</v>
      </c>
      <c r="G149">
        <v>0</v>
      </c>
      <c r="H149">
        <v>173.25</v>
      </c>
      <c r="I149">
        <f>H149+F149</f>
        <v>998.25</v>
      </c>
      <c r="J149">
        <v>0</v>
      </c>
      <c r="K149">
        <v>0</v>
      </c>
      <c r="L149" t="s">
        <v>17</v>
      </c>
      <c r="M149" t="s">
        <v>97</v>
      </c>
      <c r="N149" t="s">
        <v>97</v>
      </c>
    </row>
    <row r="150" spans="1:14" x14ac:dyDescent="0.35">
      <c r="B150" s="13"/>
      <c r="C150" s="13"/>
      <c r="D150" t="s">
        <v>42</v>
      </c>
      <c r="F150">
        <v>60.72</v>
      </c>
      <c r="G150">
        <v>0</v>
      </c>
      <c r="H150">
        <v>0</v>
      </c>
      <c r="I150">
        <v>0</v>
      </c>
      <c r="J150">
        <v>0</v>
      </c>
      <c r="K150">
        <v>0</v>
      </c>
      <c r="L150" t="s">
        <v>17</v>
      </c>
      <c r="M150" t="s">
        <v>114</v>
      </c>
      <c r="N150" t="s">
        <v>116</v>
      </c>
    </row>
    <row r="151" spans="1:14" x14ac:dyDescent="0.35">
      <c r="A151" s="41"/>
      <c r="B151" s="56"/>
      <c r="C151" s="56"/>
      <c r="D151" t="s">
        <v>43</v>
      </c>
      <c r="E151" s="41"/>
      <c r="F151" s="41">
        <v>558.1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 t="s">
        <v>17</v>
      </c>
      <c r="M151" s="41" t="s">
        <v>113</v>
      </c>
      <c r="N151" s="41" t="s">
        <v>113</v>
      </c>
    </row>
    <row r="152" spans="1:14" x14ac:dyDescent="0.35">
      <c r="A152" s="41"/>
      <c r="B152" s="56"/>
      <c r="C152" s="56"/>
      <c r="D152" t="s">
        <v>43</v>
      </c>
      <c r="E152" s="41"/>
      <c r="F152" s="41">
        <v>199.95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 t="s">
        <v>17</v>
      </c>
      <c r="M152" s="41" t="s">
        <v>113</v>
      </c>
      <c r="N152" s="41" t="s">
        <v>113</v>
      </c>
    </row>
    <row r="153" spans="1:14" x14ac:dyDescent="0.35">
      <c r="A153" s="41"/>
      <c r="B153" s="56"/>
      <c r="C153" s="56"/>
      <c r="D153" t="s">
        <v>42</v>
      </c>
      <c r="E153" s="41"/>
      <c r="F153" s="41">
        <v>2.2799999999999998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 t="s">
        <v>17</v>
      </c>
      <c r="M153" s="41" t="s">
        <v>114</v>
      </c>
      <c r="N153" s="41" t="s">
        <v>119</v>
      </c>
    </row>
    <row r="154" spans="1:14" x14ac:dyDescent="0.35">
      <c r="A154" s="41"/>
      <c r="B154" s="56"/>
      <c r="C154" s="56"/>
      <c r="D154" t="s">
        <v>44</v>
      </c>
      <c r="E154" s="41"/>
      <c r="F154" s="41">
        <v>230.83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 t="s">
        <v>17</v>
      </c>
      <c r="M154" s="41" t="s">
        <v>114</v>
      </c>
      <c r="N154" s="41" t="s">
        <v>117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Cta Resultados</vt:lpstr>
      <vt:lpstr>Facturas</vt:lpstr>
      <vt:lpstr>Gastos personal</vt:lpstr>
      <vt:lpstr>Comerciales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2019-03-26T15:26:10Z</cp:lastPrinted>
  <dcterms:created xsi:type="dcterms:W3CDTF">2019-01-08T13:20:58Z</dcterms:created>
  <dcterms:modified xsi:type="dcterms:W3CDTF">2019-07-07T14:16:10Z</dcterms:modified>
</cp:coreProperties>
</file>